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autoCompressPictures="0"/>
  <mc:AlternateContent xmlns:mc="http://schemas.openxmlformats.org/markup-compatibility/2006">
    <mc:Choice Requires="x15">
      <x15ac:absPath xmlns:x15ac="http://schemas.microsoft.com/office/spreadsheetml/2010/11/ac" url="C:\Users\SUANY\Desktop\E.S.P. SANTA FE DE ANTIOQUIA\2025\pozos\PUBICAR\"/>
    </mc:Choice>
  </mc:AlternateContent>
  <xr:revisionPtr revIDLastSave="0" documentId="8_{04079A57-F9E1-4902-A766-60AAE66F2D75}" xr6:coauthVersionLast="47" xr6:coauthVersionMax="47" xr10:uidLastSave="{00000000-0000-0000-0000-000000000000}"/>
  <bookViews>
    <workbookView xWindow="-120" yWindow="-120" windowWidth="20730" windowHeight="11160" tabRatio="844" activeTab="7" xr2:uid="{00000000-000D-0000-FFFF-FFFF00000000}"/>
  </bookViews>
  <sheets>
    <sheet name="Plan ejecución" sheetId="30" r:id="rId1"/>
    <sheet name="Presupuesto Convenio " sheetId="34" r:id="rId2"/>
    <sheet name="ppto sistema septico" sheetId="18" r:id="rId3"/>
    <sheet name="FICHAS " sheetId="20" r:id="rId4"/>
    <sheet name="Salarios y transporte" sheetId="35" r:id="rId5"/>
    <sheet name="A.P.U. 2024" sheetId="31" r:id="rId6"/>
    <sheet name="Actualizacion de precios" sheetId="39" r:id="rId7"/>
    <sheet name="VALOR UNITARIO SS Y TG" sheetId="38" r:id="rId8"/>
    <sheet name="ESTUDIO MERCADO 2024" sheetId="40" r:id="rId9"/>
    <sheet name="Análisis precios transporte" sheetId="42" r:id="rId10"/>
    <sheet name="A.U" sheetId="33" r:id="rId11"/>
    <sheet name="Hoja1" sheetId="44" r:id="rId12"/>
    <sheet name="Tablas BD" sheetId="4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____________________________________________________TEP44" localSheetId="5">#N/A</definedName>
    <definedName name="_____________________________________________________TEP44" localSheetId="6">#N/A</definedName>
    <definedName name="_____________________________________________________TEP44">#N/A</definedName>
    <definedName name="_____________________________________________________TZ216" localSheetId="5">#N/A</definedName>
    <definedName name="_____________________________________________________TZ216" localSheetId="6">#N/A</definedName>
    <definedName name="_____________________________________________________TZ216">#N/A</definedName>
    <definedName name="____________________________________________________ADM4">[1]BASE!$D$120</definedName>
    <definedName name="____________________________________________________AIU1" localSheetId="5">#REF!</definedName>
    <definedName name="____________________________________________________AIU1" localSheetId="6">#REF!</definedName>
    <definedName name="____________________________________________________AIU1">#REF!</definedName>
    <definedName name="____________________________________________________TPE1132" localSheetId="5">#N/A</definedName>
    <definedName name="____________________________________________________TPE1132" localSheetId="6">#N/A</definedName>
    <definedName name="____________________________________________________TPE1132">#N/A</definedName>
    <definedName name="____________________________________________________TPE12" localSheetId="5">#REF!</definedName>
    <definedName name="____________________________________________________TPE12" localSheetId="6">#REF!</definedName>
    <definedName name="____________________________________________________TPE12">#REF!</definedName>
    <definedName name="____________________________________________________TPE1331" localSheetId="5">#N/A</definedName>
    <definedName name="____________________________________________________TPE1331" localSheetId="6">#N/A</definedName>
    <definedName name="____________________________________________________TPE1331">#N/A</definedName>
    <definedName name="____________________________________________________TPE1702" localSheetId="5">#N/A</definedName>
    <definedName name="____________________________________________________TPE1702" localSheetId="6">#N/A</definedName>
    <definedName name="____________________________________________________TPE1702">#N/A</definedName>
    <definedName name="____________________________________________________TPE1703" localSheetId="5">#N/A</definedName>
    <definedName name="____________________________________________________TPE1703" localSheetId="6">#N/A</definedName>
    <definedName name="____________________________________________________TPE1703">#N/A</definedName>
    <definedName name="____________________________________________________TPE1704" localSheetId="5">#N/A</definedName>
    <definedName name="____________________________________________________TPE1704" localSheetId="6">#N/A</definedName>
    <definedName name="____________________________________________________TPE1704">#N/A</definedName>
    <definedName name="____________________________________________________TPE1706" localSheetId="5">#N/A</definedName>
    <definedName name="____________________________________________________TPE1706" localSheetId="6">#N/A</definedName>
    <definedName name="____________________________________________________TPE1706">#N/A</definedName>
    <definedName name="____________________________________________________TPE1708" localSheetId="5">#N/A</definedName>
    <definedName name="____________________________________________________TPE1708" localSheetId="6">#N/A</definedName>
    <definedName name="____________________________________________________TPE1708">#N/A</definedName>
    <definedName name="____________________________________________________TPE1710" localSheetId="5">#N/A</definedName>
    <definedName name="____________________________________________________TPE1710" localSheetId="6">#N/A</definedName>
    <definedName name="____________________________________________________TPE1710">#N/A</definedName>
    <definedName name="____________________________________________________TPE1735" localSheetId="5">#N/A</definedName>
    <definedName name="____________________________________________________TPE1735" localSheetId="6">#N/A</definedName>
    <definedName name="____________________________________________________TPE1735">#N/A</definedName>
    <definedName name="____________________________________________________TPE1763" localSheetId="5">#N/A</definedName>
    <definedName name="____________________________________________________TPE1763" localSheetId="6">#N/A</definedName>
    <definedName name="____________________________________________________TPE1763">#N/A</definedName>
    <definedName name="____________________________________________________TPE1790" localSheetId="5">#N/A</definedName>
    <definedName name="____________________________________________________TPE1790" localSheetId="6">#N/A</definedName>
    <definedName name="____________________________________________________TPE1790">#N/A</definedName>
    <definedName name="____________________________________________________TUZ22" localSheetId="5">'[2]BASE ORIGINAL'!#REF!</definedName>
    <definedName name="____________________________________________________TUZ22" localSheetId="6">'[2]BASE ORIGINAL'!#REF!</definedName>
    <definedName name="____________________________________________________TUZ22">'[2]BASE ORIGINAL'!#REF!</definedName>
    <definedName name="____________________________________________________TUZ36" localSheetId="5">'[2]BASE ORIGINAL'!#REF!</definedName>
    <definedName name="____________________________________________________TUZ36" localSheetId="6">'[2]BASE ORIGINAL'!#REF!</definedName>
    <definedName name="____________________________________________________TUZ36">'[2]BASE ORIGINAL'!#REF!</definedName>
    <definedName name="____________________________________________________TZ214" localSheetId="5">#N/A</definedName>
    <definedName name="____________________________________________________TZ214" localSheetId="6">#N/A</definedName>
    <definedName name="____________________________________________________TZ214">#N/A</definedName>
    <definedName name="____________________________________________________TZ323" localSheetId="5">'[2]BASE ORIGINAL'!#REF!</definedName>
    <definedName name="____________________________________________________TZ323" localSheetId="6">'[2]BASE ORIGINAL'!#REF!</definedName>
    <definedName name="____________________________________________________TZ323">'[2]BASE ORIGINAL'!#REF!</definedName>
    <definedName name="____________________________________________________TZ324" localSheetId="5">'[2]BASE ORIGINAL'!#REF!</definedName>
    <definedName name="____________________________________________________TZ324" localSheetId="6">'[2]BASE ORIGINAL'!#REF!</definedName>
    <definedName name="____________________________________________________TZ324">'[2]BASE ORIGINAL'!#REF!</definedName>
    <definedName name="____________________________________________________TZ32510" localSheetId="5">#N/A</definedName>
    <definedName name="____________________________________________________TZ32510" localSheetId="6">#N/A</definedName>
    <definedName name="____________________________________________________TZ32510">#N/A</definedName>
    <definedName name="___________________________________________________ADM4" localSheetId="1">[1]BASE!$D$120</definedName>
    <definedName name="___________________________________________________ADM4">[1]BASE!$D$120</definedName>
    <definedName name="___________________________________________________TEP44" localSheetId="5">#N/A</definedName>
    <definedName name="___________________________________________________TEP44" localSheetId="6">#N/A</definedName>
    <definedName name="___________________________________________________TEP44">#N/A</definedName>
    <definedName name="___________________________________________________TZ216" localSheetId="5">#N/A</definedName>
    <definedName name="___________________________________________________TZ216" localSheetId="6">#N/A</definedName>
    <definedName name="___________________________________________________TZ216">#N/A</definedName>
    <definedName name="__________________________________________________ADH12">[1]BASE!$D$218</definedName>
    <definedName name="__________________________________________________ADM12">[1]BASE!$D$219</definedName>
    <definedName name="__________________________________________________ADM4" localSheetId="1">[1]BASE!$D$120</definedName>
    <definedName name="__________________________________________________ADM4">[1]BASE!$D$120</definedName>
    <definedName name="__________________________________________________AIU1" localSheetId="5">#REF!</definedName>
    <definedName name="__________________________________________________AIU1" localSheetId="6">#REF!</definedName>
    <definedName name="__________________________________________________AIU1">#REF!</definedName>
    <definedName name="__________________________________________________AIU2">[3]BASE!$C$5</definedName>
    <definedName name="__________________________________________________BAZ10">[1]BASE!$D$270</definedName>
    <definedName name="__________________________________________________BLO20">[1]BASE!$D$56</definedName>
    <definedName name="__________________________________________________CAN28">[1]BASE!$D$315</definedName>
    <definedName name="__________________________________________________Cod1" localSheetId="5">#N/A</definedName>
    <definedName name="__________________________________________________Cod1" localSheetId="6">#N/A</definedName>
    <definedName name="__________________________________________________Cod1">#N/A</definedName>
    <definedName name="__________________________________________________CUA44">[1]BASE!$D$253</definedName>
    <definedName name="__________________________________________________LA124">[1]BASE!$D$64</definedName>
    <definedName name="__________________________________________________LAC18">[4]BASE!$D$252</definedName>
    <definedName name="__________________________________________________Po2">[5]REAJUSTESACTA1PROVI!#REF!</definedName>
    <definedName name="__________________________________________________R84JH">[4]BASE!$D$172</definedName>
    <definedName name="__________________________________________________REP43">[6]BASE!$D$136</definedName>
    <definedName name="__________________________________________________TEP44" localSheetId="5">#N/A</definedName>
    <definedName name="__________________________________________________TEP44" localSheetId="6">#N/A</definedName>
    <definedName name="__________________________________________________TEP44">#N/A</definedName>
    <definedName name="__________________________________________________TPE1132" localSheetId="5">#N/A</definedName>
    <definedName name="__________________________________________________TPE1132" localSheetId="6">#N/A</definedName>
    <definedName name="__________________________________________________TPE1132">#N/A</definedName>
    <definedName name="__________________________________________________TPE12" localSheetId="5">#REF!</definedName>
    <definedName name="__________________________________________________TPE12" localSheetId="6">#REF!</definedName>
    <definedName name="__________________________________________________TPE12">#REF!</definedName>
    <definedName name="__________________________________________________TPE1331" localSheetId="5">#N/A</definedName>
    <definedName name="__________________________________________________TPE1331" localSheetId="6">#N/A</definedName>
    <definedName name="__________________________________________________TPE1331">#N/A</definedName>
    <definedName name="__________________________________________________TPE1702" localSheetId="5">#N/A</definedName>
    <definedName name="__________________________________________________TPE1702" localSheetId="6">#N/A</definedName>
    <definedName name="__________________________________________________TPE1702">#N/A</definedName>
    <definedName name="__________________________________________________TPE1703" localSheetId="5">#N/A</definedName>
    <definedName name="__________________________________________________TPE1703" localSheetId="6">#N/A</definedName>
    <definedName name="__________________________________________________TPE1703">#N/A</definedName>
    <definedName name="__________________________________________________TPE1704" localSheetId="5">#N/A</definedName>
    <definedName name="__________________________________________________TPE1704" localSheetId="6">#N/A</definedName>
    <definedName name="__________________________________________________TPE1704">#N/A</definedName>
    <definedName name="__________________________________________________TPE1706" localSheetId="5">#N/A</definedName>
    <definedName name="__________________________________________________TPE1706" localSheetId="6">#N/A</definedName>
    <definedName name="__________________________________________________TPE1706">#N/A</definedName>
    <definedName name="__________________________________________________TPE1708" localSheetId="5">#N/A</definedName>
    <definedName name="__________________________________________________TPE1708" localSheetId="6">#N/A</definedName>
    <definedName name="__________________________________________________TPE1708">#N/A</definedName>
    <definedName name="__________________________________________________TPE1710" localSheetId="5">#N/A</definedName>
    <definedName name="__________________________________________________TPE1710" localSheetId="6">#N/A</definedName>
    <definedName name="__________________________________________________TPE1710">#N/A</definedName>
    <definedName name="__________________________________________________TPE1735" localSheetId="5">#N/A</definedName>
    <definedName name="__________________________________________________TPE1735" localSheetId="6">#N/A</definedName>
    <definedName name="__________________________________________________TPE1735">#N/A</definedName>
    <definedName name="__________________________________________________TPE1763" localSheetId="5">#N/A</definedName>
    <definedName name="__________________________________________________TPE1763" localSheetId="6">#N/A</definedName>
    <definedName name="__________________________________________________TPE1763">#N/A</definedName>
    <definedName name="__________________________________________________TPE1790" localSheetId="5">#N/A</definedName>
    <definedName name="__________________________________________________TPE1790" localSheetId="6">#N/A</definedName>
    <definedName name="__________________________________________________TPE1790">#N/A</definedName>
    <definedName name="__________________________________________________TPF12">[1]BASE!$D$217</definedName>
    <definedName name="__________________________________________________TUZ22" localSheetId="5">'[2]BASE ORIGINAL'!#REF!</definedName>
    <definedName name="__________________________________________________TUZ22" localSheetId="6">'[2]BASE ORIGINAL'!#REF!</definedName>
    <definedName name="__________________________________________________TUZ22">'[2]BASE ORIGINAL'!#REF!</definedName>
    <definedName name="__________________________________________________TUZ36" localSheetId="5">'[2]BASE ORIGINAL'!#REF!</definedName>
    <definedName name="__________________________________________________TUZ36" localSheetId="6">'[2]BASE ORIGINAL'!#REF!</definedName>
    <definedName name="__________________________________________________TUZ36">'[2]BASE ORIGINAL'!#REF!</definedName>
    <definedName name="__________________________________________________TZ2110">[1]BASE!$D$79</definedName>
    <definedName name="__________________________________________________TZ214" localSheetId="5">#N/A</definedName>
    <definedName name="__________________________________________________TZ214" localSheetId="6">#N/A</definedName>
    <definedName name="__________________________________________________TZ214">#N/A</definedName>
    <definedName name="__________________________________________________TZ216" localSheetId="5">#N/A</definedName>
    <definedName name="__________________________________________________TZ216" localSheetId="6">#N/A</definedName>
    <definedName name="__________________________________________________TZ216">#N/A</definedName>
    <definedName name="__________________________________________________TZ268">[4]BASE!$D$85</definedName>
    <definedName name="__________________________________________________TZ323" localSheetId="5">'[2]BASE ORIGINAL'!#REF!</definedName>
    <definedName name="__________________________________________________TZ323" localSheetId="6">'[2]BASE ORIGINAL'!#REF!</definedName>
    <definedName name="__________________________________________________TZ323">'[2]BASE ORIGINAL'!#REF!</definedName>
    <definedName name="__________________________________________________TZ324" localSheetId="5">'[2]BASE ORIGINAL'!#REF!</definedName>
    <definedName name="__________________________________________________TZ324" localSheetId="6">'[2]BASE ORIGINAL'!#REF!</definedName>
    <definedName name="__________________________________________________TZ324">'[2]BASE ORIGINAL'!#REF!</definedName>
    <definedName name="__________________________________________________TZ32510" localSheetId="5">#N/A</definedName>
    <definedName name="__________________________________________________TZ32510" localSheetId="6">#N/A</definedName>
    <definedName name="__________________________________________________TZ32510">#N/A</definedName>
    <definedName name="_________________________________________________ADH12" localSheetId="1">[1]BASE!$D$218</definedName>
    <definedName name="_________________________________________________ADH12">[1]BASE!$D$218</definedName>
    <definedName name="_________________________________________________ADM12" localSheetId="1">[1]BASE!$D$219</definedName>
    <definedName name="_________________________________________________ADM12">[1]BASE!$D$219</definedName>
    <definedName name="_________________________________________________ADM4" localSheetId="1">[1]BASE!$D$120</definedName>
    <definedName name="_________________________________________________ADM4">[1]BASE!$D$120</definedName>
    <definedName name="_________________________________________________AIU1" localSheetId="5">#REF!</definedName>
    <definedName name="_________________________________________________AIU1" localSheetId="6">#REF!</definedName>
    <definedName name="_________________________________________________AIU1">#REF!</definedName>
    <definedName name="_________________________________________________AIU2">[3]BASE!$C$5</definedName>
    <definedName name="_________________________________________________BAZ10" localSheetId="1">[1]BASE!$D$270</definedName>
    <definedName name="_________________________________________________BAZ10">[1]BASE!$D$270</definedName>
    <definedName name="_________________________________________________BLO20" localSheetId="1">[1]BASE!$D$56</definedName>
    <definedName name="_________________________________________________BLO20">[1]BASE!$D$56</definedName>
    <definedName name="_________________________________________________CAN28" localSheetId="1">[1]BASE!$D$315</definedName>
    <definedName name="_________________________________________________CAN28">[1]BASE!$D$315</definedName>
    <definedName name="_________________________________________________Cod1" localSheetId="5">#REF!</definedName>
    <definedName name="_________________________________________________Cod1" localSheetId="6">#REF!</definedName>
    <definedName name="_________________________________________________Cod1">#REF!</definedName>
    <definedName name="_________________________________________________CUA44" localSheetId="1">[1]BASE!$D$253</definedName>
    <definedName name="_________________________________________________CUA44">[1]BASE!$D$253</definedName>
    <definedName name="_________________________________________________LA124" localSheetId="1">[1]BASE!$D$64</definedName>
    <definedName name="_________________________________________________LA124">[1]BASE!$D$64</definedName>
    <definedName name="_________________________________________________LAC18">[4]BASE!$D$252</definedName>
    <definedName name="_________________________________________________Po2">[5]REAJUSTESACTA1PROVI!#REF!</definedName>
    <definedName name="_________________________________________________R84JH">[4]BASE!$D$172</definedName>
    <definedName name="_________________________________________________REP43">[6]BASE!$D$136</definedName>
    <definedName name="_________________________________________________TEP44" localSheetId="5">#N/A</definedName>
    <definedName name="_________________________________________________TEP44" localSheetId="6">#N/A</definedName>
    <definedName name="_________________________________________________TEP44">#N/A</definedName>
    <definedName name="_________________________________________________TPE1132" localSheetId="5">#N/A</definedName>
    <definedName name="_________________________________________________TPE1132" localSheetId="6">#N/A</definedName>
    <definedName name="_________________________________________________TPE1132">#N/A</definedName>
    <definedName name="_________________________________________________TPE12" localSheetId="5">#REF!</definedName>
    <definedName name="_________________________________________________TPE12" localSheetId="6">#REF!</definedName>
    <definedName name="_________________________________________________TPE12">#REF!</definedName>
    <definedName name="_________________________________________________TPE1331" localSheetId="5">#N/A</definedName>
    <definedName name="_________________________________________________TPE1331" localSheetId="6">#N/A</definedName>
    <definedName name="_________________________________________________TPE1331">#N/A</definedName>
    <definedName name="_________________________________________________TPE1702" localSheetId="5">#N/A</definedName>
    <definedName name="_________________________________________________TPE1702" localSheetId="6">#N/A</definedName>
    <definedName name="_________________________________________________TPE1702">#N/A</definedName>
    <definedName name="_________________________________________________TPE1703" localSheetId="5">#N/A</definedName>
    <definedName name="_________________________________________________TPE1703" localSheetId="6">#N/A</definedName>
    <definedName name="_________________________________________________TPE1703">#N/A</definedName>
    <definedName name="_________________________________________________TPE1704" localSheetId="5">#N/A</definedName>
    <definedName name="_________________________________________________TPE1704" localSheetId="6">#N/A</definedName>
    <definedName name="_________________________________________________TPE1704">#N/A</definedName>
    <definedName name="_________________________________________________TPE1706" localSheetId="5">#N/A</definedName>
    <definedName name="_________________________________________________TPE1706" localSheetId="6">#N/A</definedName>
    <definedName name="_________________________________________________TPE1706">#N/A</definedName>
    <definedName name="_________________________________________________TPE1708" localSheetId="5">#N/A</definedName>
    <definedName name="_________________________________________________TPE1708" localSheetId="6">#N/A</definedName>
    <definedName name="_________________________________________________TPE1708">#N/A</definedName>
    <definedName name="_________________________________________________TPE1710" localSheetId="5">#N/A</definedName>
    <definedName name="_________________________________________________TPE1710" localSheetId="6">#N/A</definedName>
    <definedName name="_________________________________________________TPE1710">#N/A</definedName>
    <definedName name="_________________________________________________TPE1735" localSheetId="5">#N/A</definedName>
    <definedName name="_________________________________________________TPE1735" localSheetId="6">#N/A</definedName>
    <definedName name="_________________________________________________TPE1735">#N/A</definedName>
    <definedName name="_________________________________________________TPE1763" localSheetId="5">#N/A</definedName>
    <definedName name="_________________________________________________TPE1763" localSheetId="6">#N/A</definedName>
    <definedName name="_________________________________________________TPE1763">#N/A</definedName>
    <definedName name="_________________________________________________TPE1790" localSheetId="5">#N/A</definedName>
    <definedName name="_________________________________________________TPE1790" localSheetId="6">#N/A</definedName>
    <definedName name="_________________________________________________TPE1790">#N/A</definedName>
    <definedName name="_________________________________________________TPF12" localSheetId="1">[1]BASE!$D$217</definedName>
    <definedName name="_________________________________________________TPF12">[1]BASE!$D$217</definedName>
    <definedName name="_________________________________________________TUZ22" localSheetId="5">'[2]BASE ORIGINAL'!#REF!</definedName>
    <definedName name="_________________________________________________TUZ22" localSheetId="6">'[2]BASE ORIGINAL'!#REF!</definedName>
    <definedName name="_________________________________________________TUZ22">'[2]BASE ORIGINAL'!#REF!</definedName>
    <definedName name="_________________________________________________TUZ36" localSheetId="5">'[2]BASE ORIGINAL'!#REF!</definedName>
    <definedName name="_________________________________________________TUZ36" localSheetId="6">'[2]BASE ORIGINAL'!#REF!</definedName>
    <definedName name="_________________________________________________TUZ36">'[2]BASE ORIGINAL'!#REF!</definedName>
    <definedName name="_________________________________________________TZ2110" localSheetId="1">[1]BASE!$D$79</definedName>
    <definedName name="_________________________________________________TZ2110">[1]BASE!$D$79</definedName>
    <definedName name="_________________________________________________TZ214" localSheetId="5">#N/A</definedName>
    <definedName name="_________________________________________________TZ214" localSheetId="6">#N/A</definedName>
    <definedName name="_________________________________________________TZ214">#N/A</definedName>
    <definedName name="_________________________________________________TZ216" localSheetId="5">#N/A</definedName>
    <definedName name="_________________________________________________TZ216" localSheetId="6">#N/A</definedName>
    <definedName name="_________________________________________________TZ216">#N/A</definedName>
    <definedName name="_________________________________________________TZ268">[4]BASE!$D$85</definedName>
    <definedName name="_________________________________________________TZ323" localSheetId="5">'[2]BASE ORIGINAL'!#REF!</definedName>
    <definedName name="_________________________________________________TZ323" localSheetId="6">'[2]BASE ORIGINAL'!#REF!</definedName>
    <definedName name="_________________________________________________TZ323">'[2]BASE ORIGINAL'!#REF!</definedName>
    <definedName name="_________________________________________________TZ324" localSheetId="5">'[2]BASE ORIGINAL'!#REF!</definedName>
    <definedName name="_________________________________________________TZ324" localSheetId="6">'[2]BASE ORIGINAL'!#REF!</definedName>
    <definedName name="_________________________________________________TZ324">'[2]BASE ORIGINAL'!#REF!</definedName>
    <definedName name="_________________________________________________TZ32510" localSheetId="5">#N/A</definedName>
    <definedName name="_________________________________________________TZ32510" localSheetId="6">#N/A</definedName>
    <definedName name="_________________________________________________TZ32510">#N/A</definedName>
    <definedName name="________________________________________________ADH12" localSheetId="1">[1]BASE!$D$218</definedName>
    <definedName name="________________________________________________ADH12">[1]BASE!$D$218</definedName>
    <definedName name="________________________________________________ADM12" localSheetId="1">[1]BASE!$D$219</definedName>
    <definedName name="________________________________________________ADM12">[1]BASE!$D$219</definedName>
    <definedName name="________________________________________________ADM4" localSheetId="5">#REF!</definedName>
    <definedName name="________________________________________________ADM4" localSheetId="6">#REF!</definedName>
    <definedName name="________________________________________________ADM4">#REF!</definedName>
    <definedName name="________________________________________________AIU1" localSheetId="5">#REF!</definedName>
    <definedName name="________________________________________________AIU1" localSheetId="6">#REF!</definedName>
    <definedName name="________________________________________________AIU1">#REF!</definedName>
    <definedName name="________________________________________________AIU2">[3]BASE!$C$5</definedName>
    <definedName name="________________________________________________BAZ10" localSheetId="1">[1]BASE!$D$270</definedName>
    <definedName name="________________________________________________BAZ10">[1]BASE!$D$270</definedName>
    <definedName name="________________________________________________BLO20" localSheetId="1">[1]BASE!$D$56</definedName>
    <definedName name="________________________________________________BLO20">[1]BASE!$D$56</definedName>
    <definedName name="________________________________________________CAN28" localSheetId="1">[1]BASE!$D$315</definedName>
    <definedName name="________________________________________________CAN28">[1]BASE!$D$315</definedName>
    <definedName name="________________________________________________Cod1" localSheetId="5">#REF!</definedName>
    <definedName name="________________________________________________Cod1" localSheetId="6">#REF!</definedName>
    <definedName name="________________________________________________Cod1">#REF!</definedName>
    <definedName name="________________________________________________CUA44" localSheetId="1">[1]BASE!$D$253</definedName>
    <definedName name="________________________________________________CUA44">[1]BASE!$D$253</definedName>
    <definedName name="________________________________________________LA124" localSheetId="1">[1]BASE!$D$64</definedName>
    <definedName name="________________________________________________LA124">[1]BASE!$D$64</definedName>
    <definedName name="________________________________________________LAC18">[4]BASE!$D$252</definedName>
    <definedName name="________________________________________________Po2">[5]REAJUSTESACTA1PROVI!#REF!</definedName>
    <definedName name="________________________________________________R84JH">[4]BASE!$D$172</definedName>
    <definedName name="________________________________________________REP43">[6]BASE!$D$136</definedName>
    <definedName name="________________________________________________TEP44" localSheetId="5">#N/A</definedName>
    <definedName name="________________________________________________TEP44" localSheetId="6">#N/A</definedName>
    <definedName name="________________________________________________TEP44">#N/A</definedName>
    <definedName name="________________________________________________TPE1132" localSheetId="5">#N/A</definedName>
    <definedName name="________________________________________________TPE1132" localSheetId="6">#N/A</definedName>
    <definedName name="________________________________________________TPE1132">#N/A</definedName>
    <definedName name="________________________________________________TPE12" localSheetId="5">#REF!</definedName>
    <definedName name="________________________________________________TPE12" localSheetId="6">#REF!</definedName>
    <definedName name="________________________________________________TPE12">#REF!</definedName>
    <definedName name="________________________________________________TPE1331" localSheetId="5">#N/A</definedName>
    <definedName name="________________________________________________TPE1331" localSheetId="6">#N/A</definedName>
    <definedName name="________________________________________________TPE1331">#N/A</definedName>
    <definedName name="________________________________________________TPE1702" localSheetId="5">#N/A</definedName>
    <definedName name="________________________________________________TPE1702" localSheetId="6">#N/A</definedName>
    <definedName name="________________________________________________TPE1702">#N/A</definedName>
    <definedName name="________________________________________________TPE1703" localSheetId="5">#N/A</definedName>
    <definedName name="________________________________________________TPE1703" localSheetId="6">#N/A</definedName>
    <definedName name="________________________________________________TPE1703">#N/A</definedName>
    <definedName name="________________________________________________TPE1704" localSheetId="5">#N/A</definedName>
    <definedName name="________________________________________________TPE1704" localSheetId="6">#N/A</definedName>
    <definedName name="________________________________________________TPE1704">#N/A</definedName>
    <definedName name="________________________________________________TPE1706" localSheetId="5">#N/A</definedName>
    <definedName name="________________________________________________TPE1706" localSheetId="6">#N/A</definedName>
    <definedName name="________________________________________________TPE1706">#N/A</definedName>
    <definedName name="________________________________________________TPE1708" localSheetId="5">#N/A</definedName>
    <definedName name="________________________________________________TPE1708" localSheetId="6">#N/A</definedName>
    <definedName name="________________________________________________TPE1708">#N/A</definedName>
    <definedName name="________________________________________________TPE1710" localSheetId="5">#N/A</definedName>
    <definedName name="________________________________________________TPE1710" localSheetId="6">#N/A</definedName>
    <definedName name="________________________________________________TPE1710">#N/A</definedName>
    <definedName name="________________________________________________TPE1735" localSheetId="5">#N/A</definedName>
    <definedName name="________________________________________________TPE1735" localSheetId="6">#N/A</definedName>
    <definedName name="________________________________________________TPE1735">#N/A</definedName>
    <definedName name="________________________________________________TPE1763" localSheetId="5">#N/A</definedName>
    <definedName name="________________________________________________TPE1763" localSheetId="6">#N/A</definedName>
    <definedName name="________________________________________________TPE1763">#N/A</definedName>
    <definedName name="________________________________________________TPE1790" localSheetId="5">#N/A</definedName>
    <definedName name="________________________________________________TPE1790" localSheetId="6">#N/A</definedName>
    <definedName name="________________________________________________TPE1790">#N/A</definedName>
    <definedName name="________________________________________________TPF12" localSheetId="1">[1]BASE!$D$217</definedName>
    <definedName name="________________________________________________TPF12">[1]BASE!$D$217</definedName>
    <definedName name="________________________________________________TUZ22" localSheetId="5">'[2]BASE ORIGINAL'!#REF!</definedName>
    <definedName name="________________________________________________TUZ22" localSheetId="6">'[2]BASE ORIGINAL'!#REF!</definedName>
    <definedName name="________________________________________________TUZ22">'[2]BASE ORIGINAL'!#REF!</definedName>
    <definedName name="________________________________________________TUZ36" localSheetId="5">'[2]BASE ORIGINAL'!#REF!</definedName>
    <definedName name="________________________________________________TUZ36" localSheetId="6">'[2]BASE ORIGINAL'!#REF!</definedName>
    <definedName name="________________________________________________TUZ36">'[2]BASE ORIGINAL'!#REF!</definedName>
    <definedName name="________________________________________________TZ2110" localSheetId="1">[1]BASE!$D$79</definedName>
    <definedName name="________________________________________________TZ2110">[1]BASE!$D$79</definedName>
    <definedName name="________________________________________________TZ214" localSheetId="5">#N/A</definedName>
    <definedName name="________________________________________________TZ214" localSheetId="6">#N/A</definedName>
    <definedName name="________________________________________________TZ214">#N/A</definedName>
    <definedName name="________________________________________________TZ216" localSheetId="5">#N/A</definedName>
    <definedName name="________________________________________________TZ216" localSheetId="6">#N/A</definedName>
    <definedName name="________________________________________________TZ216">#N/A</definedName>
    <definedName name="________________________________________________TZ268">[4]BASE!$D$85</definedName>
    <definedName name="________________________________________________TZ323" localSheetId="5">'[2]BASE ORIGINAL'!#REF!</definedName>
    <definedName name="________________________________________________TZ323" localSheetId="6">'[2]BASE ORIGINAL'!#REF!</definedName>
    <definedName name="________________________________________________TZ323">'[2]BASE ORIGINAL'!#REF!</definedName>
    <definedName name="________________________________________________TZ324" localSheetId="5">'[2]BASE ORIGINAL'!#REF!</definedName>
    <definedName name="________________________________________________TZ324" localSheetId="6">'[2]BASE ORIGINAL'!#REF!</definedName>
    <definedName name="________________________________________________TZ324">'[2]BASE ORIGINAL'!#REF!</definedName>
    <definedName name="________________________________________________TZ32510" localSheetId="5">#N/A</definedName>
    <definedName name="________________________________________________TZ32510" localSheetId="6">#N/A</definedName>
    <definedName name="________________________________________________TZ32510">#N/A</definedName>
    <definedName name="_______________________________________________ADH12" localSheetId="1">[1]BASE!$D$218</definedName>
    <definedName name="_______________________________________________ADH12">[1]BASE!$D$218</definedName>
    <definedName name="_______________________________________________ADM12" localSheetId="1">[1]BASE!$D$219</definedName>
    <definedName name="_______________________________________________ADM12">[1]BASE!$D$219</definedName>
    <definedName name="_______________________________________________ADM4" localSheetId="5">[2]BASE!$D$120</definedName>
    <definedName name="_______________________________________________ADM4" localSheetId="6">[2]BASE!$D$120</definedName>
    <definedName name="_______________________________________________ADM4">[2]BASE!$D$120</definedName>
    <definedName name="_______________________________________________AIU1" localSheetId="5">#REF!</definedName>
    <definedName name="_______________________________________________AIU1" localSheetId="6">#REF!</definedName>
    <definedName name="_______________________________________________AIU1">#REF!</definedName>
    <definedName name="_______________________________________________AIU2">[3]BASE!$C$5</definedName>
    <definedName name="_______________________________________________BAZ10" localSheetId="1">[1]BASE!$D$270</definedName>
    <definedName name="_______________________________________________BAZ10">[1]BASE!$D$270</definedName>
    <definedName name="_______________________________________________BLO20" localSheetId="1">[1]BASE!$D$56</definedName>
    <definedName name="_______________________________________________BLO20">[1]BASE!$D$56</definedName>
    <definedName name="_______________________________________________CAN28" localSheetId="1">[1]BASE!$D$315</definedName>
    <definedName name="_______________________________________________CAN28">[1]BASE!$D$315</definedName>
    <definedName name="_______________________________________________Cod1" localSheetId="5">#REF!</definedName>
    <definedName name="_______________________________________________Cod1" localSheetId="6">#REF!</definedName>
    <definedName name="_______________________________________________Cod1">#REF!</definedName>
    <definedName name="_______________________________________________CUA44" localSheetId="1">[1]BASE!$D$253</definedName>
    <definedName name="_______________________________________________CUA44">[1]BASE!$D$253</definedName>
    <definedName name="_______________________________________________LA124" localSheetId="1">[1]BASE!$D$64</definedName>
    <definedName name="_______________________________________________LA124">[1]BASE!$D$64</definedName>
    <definedName name="_______________________________________________LAC18">[4]BASE!$D$252</definedName>
    <definedName name="_______________________________________________Po2">[5]REAJUSTESACTA1PROVI!#REF!</definedName>
    <definedName name="_______________________________________________R84JH">[4]BASE!$D$172</definedName>
    <definedName name="_______________________________________________REP43">[6]BASE!$D$136</definedName>
    <definedName name="_______________________________________________TPE1132" localSheetId="5">#N/A</definedName>
    <definedName name="_______________________________________________TPE1132" localSheetId="6">#N/A</definedName>
    <definedName name="_______________________________________________TPE1132">#N/A</definedName>
    <definedName name="_______________________________________________TPE12" localSheetId="5">#REF!</definedName>
    <definedName name="_______________________________________________TPE12" localSheetId="6">#REF!</definedName>
    <definedName name="_______________________________________________TPE12">#REF!</definedName>
    <definedName name="_______________________________________________TPE1331" localSheetId="5">#N/A</definedName>
    <definedName name="_______________________________________________TPE1331" localSheetId="6">#N/A</definedName>
    <definedName name="_______________________________________________TPE1331">#N/A</definedName>
    <definedName name="_______________________________________________TPE1702" localSheetId="5">#N/A</definedName>
    <definedName name="_______________________________________________TPE1702" localSheetId="6">#N/A</definedName>
    <definedName name="_______________________________________________TPE1702">#N/A</definedName>
    <definedName name="_______________________________________________TPE1703" localSheetId="5">#N/A</definedName>
    <definedName name="_______________________________________________TPE1703" localSheetId="6">#N/A</definedName>
    <definedName name="_______________________________________________TPE1703">#N/A</definedName>
    <definedName name="_______________________________________________TPE1704" localSheetId="5">#N/A</definedName>
    <definedName name="_______________________________________________TPE1704" localSheetId="6">#N/A</definedName>
    <definedName name="_______________________________________________TPE1704">#N/A</definedName>
    <definedName name="_______________________________________________TPE1706" localSheetId="5">#N/A</definedName>
    <definedName name="_______________________________________________TPE1706" localSheetId="6">#N/A</definedName>
    <definedName name="_______________________________________________TPE1706">#N/A</definedName>
    <definedName name="_______________________________________________TPE1708" localSheetId="5">#N/A</definedName>
    <definedName name="_______________________________________________TPE1708" localSheetId="6">#N/A</definedName>
    <definedName name="_______________________________________________TPE1708">#N/A</definedName>
    <definedName name="_______________________________________________TPE1710" localSheetId="5">#N/A</definedName>
    <definedName name="_______________________________________________TPE1710" localSheetId="6">#N/A</definedName>
    <definedName name="_______________________________________________TPE1710">#N/A</definedName>
    <definedName name="_______________________________________________TPE1735" localSheetId="5">#N/A</definedName>
    <definedName name="_______________________________________________TPE1735" localSheetId="6">#N/A</definedName>
    <definedName name="_______________________________________________TPE1735">#N/A</definedName>
    <definedName name="_______________________________________________TPE1763" localSheetId="5">#N/A</definedName>
    <definedName name="_______________________________________________TPE1763" localSheetId="6">#N/A</definedName>
    <definedName name="_______________________________________________TPE1763">#N/A</definedName>
    <definedName name="_______________________________________________TPE1790" localSheetId="5">#N/A</definedName>
    <definedName name="_______________________________________________TPE1790" localSheetId="6">#N/A</definedName>
    <definedName name="_______________________________________________TPE1790">#N/A</definedName>
    <definedName name="_______________________________________________TPF12" localSheetId="1">[1]BASE!$D$217</definedName>
    <definedName name="_______________________________________________TPF12">[1]BASE!$D$217</definedName>
    <definedName name="_______________________________________________TUZ22" localSheetId="5">'[2]BASE ORIGINAL'!#REF!</definedName>
    <definedName name="_______________________________________________TUZ22" localSheetId="6">'[2]BASE ORIGINAL'!#REF!</definedName>
    <definedName name="_______________________________________________TUZ22">'[2]BASE ORIGINAL'!#REF!</definedName>
    <definedName name="_______________________________________________TUZ36" localSheetId="5">'[2]BASE ORIGINAL'!#REF!</definedName>
    <definedName name="_______________________________________________TUZ36" localSheetId="6">'[2]BASE ORIGINAL'!#REF!</definedName>
    <definedName name="_______________________________________________TUZ36">'[2]BASE ORIGINAL'!#REF!</definedName>
    <definedName name="_______________________________________________TZ2110" localSheetId="1">[1]BASE!$D$79</definedName>
    <definedName name="_______________________________________________TZ2110">[1]BASE!$D$79</definedName>
    <definedName name="_______________________________________________TZ214" localSheetId="5">#N/A</definedName>
    <definedName name="_______________________________________________TZ214" localSheetId="6">#N/A</definedName>
    <definedName name="_______________________________________________TZ214">#N/A</definedName>
    <definedName name="_______________________________________________TZ268">[4]BASE!$D$85</definedName>
    <definedName name="_______________________________________________TZ323" localSheetId="5">'[2]BASE ORIGINAL'!#REF!</definedName>
    <definedName name="_______________________________________________TZ323" localSheetId="6">'[2]BASE ORIGINAL'!#REF!</definedName>
    <definedName name="_______________________________________________TZ323">'[2]BASE ORIGINAL'!#REF!</definedName>
    <definedName name="_______________________________________________TZ324" localSheetId="5">'[2]BASE ORIGINAL'!#REF!</definedName>
    <definedName name="_______________________________________________TZ324" localSheetId="6">'[2]BASE ORIGINAL'!#REF!</definedName>
    <definedName name="_______________________________________________TZ324">'[2]BASE ORIGINAL'!#REF!</definedName>
    <definedName name="_______________________________________________TZ32510" localSheetId="5">#N/A</definedName>
    <definedName name="_______________________________________________TZ32510" localSheetId="6">#N/A</definedName>
    <definedName name="_______________________________________________TZ32510">#N/A</definedName>
    <definedName name="______________________________________________ADH12" localSheetId="5">#REF!</definedName>
    <definedName name="______________________________________________ADH12" localSheetId="6">#REF!</definedName>
    <definedName name="______________________________________________ADH12">#REF!</definedName>
    <definedName name="______________________________________________ADM12" localSheetId="5">#REF!</definedName>
    <definedName name="______________________________________________ADM12" localSheetId="6">#REF!</definedName>
    <definedName name="______________________________________________ADM12">#REF!</definedName>
    <definedName name="______________________________________________ADM4" localSheetId="5">[2]BASE!$D$120</definedName>
    <definedName name="______________________________________________ADM4" localSheetId="6">[2]BASE!$D$120</definedName>
    <definedName name="______________________________________________ADM4">[2]BASE!$D$120</definedName>
    <definedName name="______________________________________________AIU2">[3]BASE!$C$5</definedName>
    <definedName name="______________________________________________BAZ10" localSheetId="5">#REF!</definedName>
    <definedName name="______________________________________________BAZ10" localSheetId="6">#REF!</definedName>
    <definedName name="______________________________________________BAZ10">#REF!</definedName>
    <definedName name="______________________________________________BLO20" localSheetId="5">#REF!</definedName>
    <definedName name="______________________________________________BLO20" localSheetId="6">#REF!</definedName>
    <definedName name="______________________________________________BLO20">#REF!</definedName>
    <definedName name="______________________________________________CAN28" localSheetId="5">#REF!</definedName>
    <definedName name="______________________________________________CAN28" localSheetId="6">#REF!</definedName>
    <definedName name="______________________________________________CAN28">#REF!</definedName>
    <definedName name="______________________________________________Cod1" localSheetId="5">#REF!</definedName>
    <definedName name="______________________________________________Cod1" localSheetId="6">#REF!</definedName>
    <definedName name="______________________________________________Cod1">#REF!</definedName>
    <definedName name="______________________________________________CUA44" localSheetId="5">#REF!</definedName>
    <definedName name="______________________________________________CUA44" localSheetId="6">#REF!</definedName>
    <definedName name="______________________________________________CUA44">#REF!</definedName>
    <definedName name="______________________________________________LA124" localSheetId="5">#REF!</definedName>
    <definedName name="______________________________________________LA124" localSheetId="6">#REF!</definedName>
    <definedName name="______________________________________________LA124">#REF!</definedName>
    <definedName name="______________________________________________LAC18">[4]BASE!$D$252</definedName>
    <definedName name="______________________________________________Po2">[5]REAJUSTESACTA1PROVI!#REF!</definedName>
    <definedName name="______________________________________________R84JH">[4]BASE!$D$172</definedName>
    <definedName name="______________________________________________REP43">[6]BASE!$D$136</definedName>
    <definedName name="______________________________________________TEP44" localSheetId="5">#N/A</definedName>
    <definedName name="______________________________________________TEP44" localSheetId="6">#N/A</definedName>
    <definedName name="______________________________________________TEP44">#N/A</definedName>
    <definedName name="______________________________________________TPF12" localSheetId="5">#REF!</definedName>
    <definedName name="______________________________________________TPF12" localSheetId="6">#REF!</definedName>
    <definedName name="______________________________________________TPF12">#REF!</definedName>
    <definedName name="______________________________________________TZ2110" localSheetId="5">#REF!</definedName>
    <definedName name="______________________________________________TZ2110" localSheetId="6">#REF!</definedName>
    <definedName name="______________________________________________TZ2110">#REF!</definedName>
    <definedName name="______________________________________________TZ216" localSheetId="5">#N/A</definedName>
    <definedName name="______________________________________________TZ216" localSheetId="6">#N/A</definedName>
    <definedName name="______________________________________________TZ216">#N/A</definedName>
    <definedName name="______________________________________________TZ268">[4]BASE!$D$85</definedName>
    <definedName name="_____________________________________________ADH12" localSheetId="5">[2]BASE!$D$218</definedName>
    <definedName name="_____________________________________________ADH12" localSheetId="6">[2]BASE!$D$218</definedName>
    <definedName name="_____________________________________________ADH12">[2]BASE!$D$218</definedName>
    <definedName name="_____________________________________________ADM12" localSheetId="5">[2]BASE!$D$219</definedName>
    <definedName name="_____________________________________________ADM12" localSheetId="6">[2]BASE!$D$219</definedName>
    <definedName name="_____________________________________________ADM12">[2]BASE!$D$219</definedName>
    <definedName name="_____________________________________________ADM4" localSheetId="5">[2]BASE!$D$120</definedName>
    <definedName name="_____________________________________________ADM4" localSheetId="6">[2]BASE!$D$120</definedName>
    <definedName name="_____________________________________________ADM4">[2]BASE!$D$120</definedName>
    <definedName name="_____________________________________________AIU1" localSheetId="5">#REF!</definedName>
    <definedName name="_____________________________________________AIU1" localSheetId="6">#REF!</definedName>
    <definedName name="_____________________________________________AIU1">#REF!</definedName>
    <definedName name="_____________________________________________AIU2">[3]BASE!$C$5</definedName>
    <definedName name="_____________________________________________BAZ10" localSheetId="5">[2]BASE!$D$270</definedName>
    <definedName name="_____________________________________________BAZ10" localSheetId="6">[2]BASE!$D$270</definedName>
    <definedName name="_____________________________________________BAZ10">[2]BASE!$D$270</definedName>
    <definedName name="_____________________________________________BLO20" localSheetId="5">[2]BASE!$D$56</definedName>
    <definedName name="_____________________________________________BLO20" localSheetId="6">[2]BASE!$D$56</definedName>
    <definedName name="_____________________________________________BLO20">[2]BASE!$D$56</definedName>
    <definedName name="_____________________________________________CAN28" localSheetId="5">[2]BASE!$D$315</definedName>
    <definedName name="_____________________________________________CAN28" localSheetId="6">[2]BASE!$D$315</definedName>
    <definedName name="_____________________________________________CAN28">[2]BASE!$D$315</definedName>
    <definedName name="_____________________________________________Cod1" localSheetId="5">#REF!</definedName>
    <definedName name="_____________________________________________Cod1" localSheetId="6">#REF!</definedName>
    <definedName name="_____________________________________________Cod1">#REF!</definedName>
    <definedName name="_____________________________________________CUA44" localSheetId="5">[2]BASE!$D$253</definedName>
    <definedName name="_____________________________________________CUA44" localSheetId="6">[2]BASE!$D$253</definedName>
    <definedName name="_____________________________________________CUA44">[2]BASE!$D$253</definedName>
    <definedName name="_____________________________________________LA124" localSheetId="5">[2]BASE!$D$64</definedName>
    <definedName name="_____________________________________________LA124" localSheetId="6">[2]BASE!$D$64</definedName>
    <definedName name="_____________________________________________LA124">[2]BASE!$D$64</definedName>
    <definedName name="_____________________________________________LAC18">[4]BASE!$D$252</definedName>
    <definedName name="_____________________________________________Po2">[5]REAJUSTESACTA1PROVI!#REF!</definedName>
    <definedName name="_____________________________________________R84JH">[4]BASE!$D$172</definedName>
    <definedName name="_____________________________________________REP43">[6]BASE!$D$136</definedName>
    <definedName name="_____________________________________________TEP44" localSheetId="5">[7]BASE!$D$116</definedName>
    <definedName name="_____________________________________________TEP44" localSheetId="6">[7]BASE!$D$116</definedName>
    <definedName name="_____________________________________________TEP44">[7]BASE!$D$116</definedName>
    <definedName name="_____________________________________________TPE1132" localSheetId="5">#N/A</definedName>
    <definedName name="_____________________________________________TPE1132" localSheetId="6">#N/A</definedName>
    <definedName name="_____________________________________________TPE1132">#N/A</definedName>
    <definedName name="_____________________________________________TPE12" localSheetId="5">#REF!</definedName>
    <definedName name="_____________________________________________TPE12" localSheetId="6">#REF!</definedName>
    <definedName name="_____________________________________________TPE12">#REF!</definedName>
    <definedName name="_____________________________________________TPE1331" localSheetId="5">#N/A</definedName>
    <definedName name="_____________________________________________TPE1331" localSheetId="6">#N/A</definedName>
    <definedName name="_____________________________________________TPE1331">#N/A</definedName>
    <definedName name="_____________________________________________TPE1702" localSheetId="5">#N/A</definedName>
    <definedName name="_____________________________________________TPE1702" localSheetId="6">#N/A</definedName>
    <definedName name="_____________________________________________TPE1702">#N/A</definedName>
    <definedName name="_____________________________________________TPE1703" localSheetId="5">#N/A</definedName>
    <definedName name="_____________________________________________TPE1703" localSheetId="6">#N/A</definedName>
    <definedName name="_____________________________________________TPE1703">#N/A</definedName>
    <definedName name="_____________________________________________TPE1704" localSheetId="5">#N/A</definedName>
    <definedName name="_____________________________________________TPE1704" localSheetId="6">#N/A</definedName>
    <definedName name="_____________________________________________TPE1704">#N/A</definedName>
    <definedName name="_____________________________________________TPE1706" localSheetId="5">#N/A</definedName>
    <definedName name="_____________________________________________TPE1706" localSheetId="6">#N/A</definedName>
    <definedName name="_____________________________________________TPE1706">#N/A</definedName>
    <definedName name="_____________________________________________TPE1708" localSheetId="5">#N/A</definedName>
    <definedName name="_____________________________________________TPE1708" localSheetId="6">#N/A</definedName>
    <definedName name="_____________________________________________TPE1708">#N/A</definedName>
    <definedName name="_____________________________________________TPE1710" localSheetId="5">#N/A</definedName>
    <definedName name="_____________________________________________TPE1710" localSheetId="6">#N/A</definedName>
    <definedName name="_____________________________________________TPE1710">#N/A</definedName>
    <definedName name="_____________________________________________TPE1735" localSheetId="5">#N/A</definedName>
    <definedName name="_____________________________________________TPE1735" localSheetId="6">#N/A</definedName>
    <definedName name="_____________________________________________TPE1735">#N/A</definedName>
    <definedName name="_____________________________________________TPE1763" localSheetId="5">#N/A</definedName>
    <definedName name="_____________________________________________TPE1763" localSheetId="6">#N/A</definedName>
    <definedName name="_____________________________________________TPE1763">#N/A</definedName>
    <definedName name="_____________________________________________TPE1790" localSheetId="5">#N/A</definedName>
    <definedName name="_____________________________________________TPE1790" localSheetId="6">#N/A</definedName>
    <definedName name="_____________________________________________TPE1790">#N/A</definedName>
    <definedName name="_____________________________________________TPF12" localSheetId="5">[2]BASE!$D$217</definedName>
    <definedName name="_____________________________________________TPF12" localSheetId="6">[2]BASE!$D$217</definedName>
    <definedName name="_____________________________________________TPF12">[2]BASE!$D$217</definedName>
    <definedName name="_____________________________________________TUZ22" localSheetId="5">'[2]BASE ORIGINAL'!#REF!</definedName>
    <definedName name="_____________________________________________TUZ22" localSheetId="6">'[2]BASE ORIGINAL'!#REF!</definedName>
    <definedName name="_____________________________________________TUZ22">'[2]BASE ORIGINAL'!#REF!</definedName>
    <definedName name="_____________________________________________TUZ36" localSheetId="5">'[2]BASE ORIGINAL'!#REF!</definedName>
    <definedName name="_____________________________________________TUZ36" localSheetId="6">'[2]BASE ORIGINAL'!#REF!</definedName>
    <definedName name="_____________________________________________TUZ36">'[2]BASE ORIGINAL'!#REF!</definedName>
    <definedName name="_____________________________________________TZ2110" localSheetId="5">[2]BASE!$D$79</definedName>
    <definedName name="_____________________________________________TZ2110" localSheetId="6">[2]BASE!$D$79</definedName>
    <definedName name="_____________________________________________TZ2110">[2]BASE!$D$79</definedName>
    <definedName name="_____________________________________________TZ214" localSheetId="5">#N/A</definedName>
    <definedName name="_____________________________________________TZ214" localSheetId="6">#N/A</definedName>
    <definedName name="_____________________________________________TZ214">#N/A</definedName>
    <definedName name="_____________________________________________TZ216" localSheetId="5">[7]BASE!$D$87</definedName>
    <definedName name="_____________________________________________TZ216" localSheetId="6">[7]BASE!$D$87</definedName>
    <definedName name="_____________________________________________TZ216">[7]BASE!$D$87</definedName>
    <definedName name="_____________________________________________TZ268">[4]BASE!$D$85</definedName>
    <definedName name="_____________________________________________TZ323" localSheetId="5">'[2]BASE ORIGINAL'!#REF!</definedName>
    <definedName name="_____________________________________________TZ323" localSheetId="6">'[2]BASE ORIGINAL'!#REF!</definedName>
    <definedName name="_____________________________________________TZ323">'[2]BASE ORIGINAL'!#REF!</definedName>
    <definedName name="_____________________________________________TZ324" localSheetId="5">'[2]BASE ORIGINAL'!#REF!</definedName>
    <definedName name="_____________________________________________TZ324" localSheetId="6">'[2]BASE ORIGINAL'!#REF!</definedName>
    <definedName name="_____________________________________________TZ324">'[2]BASE ORIGINAL'!#REF!</definedName>
    <definedName name="_____________________________________________TZ32510" localSheetId="5">#N/A</definedName>
    <definedName name="_____________________________________________TZ32510" localSheetId="6">#N/A</definedName>
    <definedName name="_____________________________________________TZ32510">#N/A</definedName>
    <definedName name="____________________________________________ADH12" localSheetId="5">[2]BASE!$D$218</definedName>
    <definedName name="____________________________________________ADH12" localSheetId="6">[2]BASE!$D$218</definedName>
    <definedName name="____________________________________________ADH12">[2]BASE!$D$218</definedName>
    <definedName name="____________________________________________ADM12" localSheetId="5">[2]BASE!$D$219</definedName>
    <definedName name="____________________________________________ADM12" localSheetId="6">[2]BASE!$D$219</definedName>
    <definedName name="____________________________________________ADM12">[2]BASE!$D$219</definedName>
    <definedName name="____________________________________________ADM4" localSheetId="5">[2]BASE!$D$120</definedName>
    <definedName name="____________________________________________ADM4" localSheetId="6">[2]BASE!$D$120</definedName>
    <definedName name="____________________________________________ADM4">[2]BASE!$D$120</definedName>
    <definedName name="____________________________________________AIU1" localSheetId="5">#REF!</definedName>
    <definedName name="____________________________________________AIU1" localSheetId="6">#REF!</definedName>
    <definedName name="____________________________________________AIU1">#REF!</definedName>
    <definedName name="____________________________________________AIU2">[3]BASE!$C$5</definedName>
    <definedName name="____________________________________________BAZ10" localSheetId="5">[2]BASE!$D$270</definedName>
    <definedName name="____________________________________________BAZ10" localSheetId="6">[2]BASE!$D$270</definedName>
    <definedName name="____________________________________________BAZ10">[2]BASE!$D$270</definedName>
    <definedName name="____________________________________________BLO20" localSheetId="5">[2]BASE!$D$56</definedName>
    <definedName name="____________________________________________BLO20" localSheetId="6">[2]BASE!$D$56</definedName>
    <definedName name="____________________________________________BLO20">[2]BASE!$D$56</definedName>
    <definedName name="____________________________________________CAN28" localSheetId="5">[2]BASE!$D$315</definedName>
    <definedName name="____________________________________________CAN28" localSheetId="6">[2]BASE!$D$315</definedName>
    <definedName name="____________________________________________CAN28">[2]BASE!$D$315</definedName>
    <definedName name="____________________________________________Cod1" localSheetId="5">#REF!</definedName>
    <definedName name="____________________________________________Cod1" localSheetId="6">#REF!</definedName>
    <definedName name="____________________________________________Cod1">#REF!</definedName>
    <definedName name="____________________________________________CUA44" localSheetId="5">[2]BASE!$D$253</definedName>
    <definedName name="____________________________________________CUA44" localSheetId="6">[2]BASE!$D$253</definedName>
    <definedName name="____________________________________________CUA44">[2]BASE!$D$253</definedName>
    <definedName name="____________________________________________LA124" localSheetId="5">[2]BASE!$D$64</definedName>
    <definedName name="____________________________________________LA124" localSheetId="6">[2]BASE!$D$64</definedName>
    <definedName name="____________________________________________LA124">[2]BASE!$D$64</definedName>
    <definedName name="____________________________________________LAC18">[4]BASE!$D$252</definedName>
    <definedName name="____________________________________________Po2">[5]REAJUSTESACTA1PROVI!#REF!</definedName>
    <definedName name="____________________________________________R84JH">[4]BASE!$D$172</definedName>
    <definedName name="____________________________________________REP43">[6]BASE!$D$136</definedName>
    <definedName name="____________________________________________TEP44" localSheetId="5">#N/A</definedName>
    <definedName name="____________________________________________TEP44" localSheetId="6">#N/A</definedName>
    <definedName name="____________________________________________TEP44">#N/A</definedName>
    <definedName name="____________________________________________TPE1132" localSheetId="5">[7]BASE!#REF!</definedName>
    <definedName name="____________________________________________TPE1132" localSheetId="6">[7]BASE!#REF!</definedName>
    <definedName name="____________________________________________TPE1132">[7]BASE!#REF!</definedName>
    <definedName name="____________________________________________TPE12" localSheetId="5">#REF!</definedName>
    <definedName name="____________________________________________TPE12" localSheetId="6">#REF!</definedName>
    <definedName name="____________________________________________TPE12">#REF!</definedName>
    <definedName name="____________________________________________TPE1331" localSheetId="5">[7]BASE!#REF!</definedName>
    <definedName name="____________________________________________TPE1331" localSheetId="6">[7]BASE!#REF!</definedName>
    <definedName name="____________________________________________TPE1331">[7]BASE!#REF!</definedName>
    <definedName name="____________________________________________TPE1702" localSheetId="5">[7]BASE!#REF!</definedName>
    <definedName name="____________________________________________TPE1702" localSheetId="6">[7]BASE!#REF!</definedName>
    <definedName name="____________________________________________TPE1702">[7]BASE!#REF!</definedName>
    <definedName name="____________________________________________TPE1703" localSheetId="5">[7]BASE!#REF!</definedName>
    <definedName name="____________________________________________TPE1703" localSheetId="6">[7]BASE!#REF!</definedName>
    <definedName name="____________________________________________TPE1703">[7]BASE!#REF!</definedName>
    <definedName name="____________________________________________TPE1704" localSheetId="5">[7]BASE!#REF!</definedName>
    <definedName name="____________________________________________TPE1704" localSheetId="6">[7]BASE!#REF!</definedName>
    <definedName name="____________________________________________TPE1704">[7]BASE!#REF!</definedName>
    <definedName name="____________________________________________TPE1706" localSheetId="5">[7]BASE!#REF!</definedName>
    <definedName name="____________________________________________TPE1706" localSheetId="6">[7]BASE!#REF!</definedName>
    <definedName name="____________________________________________TPE1706">[7]BASE!#REF!</definedName>
    <definedName name="____________________________________________TPE1708" localSheetId="5">[7]BASE!#REF!</definedName>
    <definedName name="____________________________________________TPE1708" localSheetId="6">[7]BASE!#REF!</definedName>
    <definedName name="____________________________________________TPE1708">[7]BASE!#REF!</definedName>
    <definedName name="____________________________________________TPE1710" localSheetId="5">[7]BASE!#REF!</definedName>
    <definedName name="____________________________________________TPE1710" localSheetId="6">[7]BASE!#REF!</definedName>
    <definedName name="____________________________________________TPE1710">[7]BASE!#REF!</definedName>
    <definedName name="____________________________________________TPE1735" localSheetId="5">[7]BASE!#REF!</definedName>
    <definedName name="____________________________________________TPE1735" localSheetId="6">[7]BASE!#REF!</definedName>
    <definedName name="____________________________________________TPE1735">[7]BASE!#REF!</definedName>
    <definedName name="____________________________________________TPE1763" localSheetId="5">[7]BASE!#REF!</definedName>
    <definedName name="____________________________________________TPE1763" localSheetId="6">[7]BASE!#REF!</definedName>
    <definedName name="____________________________________________TPE1763">[7]BASE!#REF!</definedName>
    <definedName name="____________________________________________TPE1790" localSheetId="5">[7]BASE!#REF!</definedName>
    <definedName name="____________________________________________TPE1790" localSheetId="6">[7]BASE!#REF!</definedName>
    <definedName name="____________________________________________TPE1790">[7]BASE!#REF!</definedName>
    <definedName name="____________________________________________TPF12" localSheetId="5">[2]BASE!$D$217</definedName>
    <definedName name="____________________________________________TPF12" localSheetId="6">[2]BASE!$D$217</definedName>
    <definedName name="____________________________________________TPF12">[2]BASE!$D$217</definedName>
    <definedName name="____________________________________________TUZ22" localSheetId="5">'[8]BASE ORIGINAL'!#REF!</definedName>
    <definedName name="____________________________________________TUZ22" localSheetId="6">'[8]BASE ORIGINAL'!#REF!</definedName>
    <definedName name="____________________________________________TUZ22">'[8]BASE ORIGINAL'!#REF!</definedName>
    <definedName name="____________________________________________TUZ36" localSheetId="5">'[8]BASE ORIGINAL'!#REF!</definedName>
    <definedName name="____________________________________________TUZ36" localSheetId="6">'[8]BASE ORIGINAL'!#REF!</definedName>
    <definedName name="____________________________________________TUZ36">'[8]BASE ORIGINAL'!#REF!</definedName>
    <definedName name="____________________________________________TZ2110" localSheetId="5">[2]BASE!$D$79</definedName>
    <definedName name="____________________________________________TZ2110" localSheetId="6">[2]BASE!$D$79</definedName>
    <definedName name="____________________________________________TZ2110">[2]BASE!$D$79</definedName>
    <definedName name="____________________________________________TZ214" localSheetId="5">[7]BASE!$D$86</definedName>
    <definedName name="____________________________________________TZ214" localSheetId="6">[7]BASE!$D$86</definedName>
    <definedName name="____________________________________________TZ214">[7]BASE!$D$86</definedName>
    <definedName name="____________________________________________TZ216" localSheetId="5">#N/A</definedName>
    <definedName name="____________________________________________TZ216" localSheetId="6">#N/A</definedName>
    <definedName name="____________________________________________TZ216">#N/A</definedName>
    <definedName name="____________________________________________TZ268">[4]BASE!$D$85</definedName>
    <definedName name="____________________________________________TZ323" localSheetId="5">'[8]BASE ORIGINAL'!#REF!</definedName>
    <definedName name="____________________________________________TZ323" localSheetId="6">'[8]BASE ORIGINAL'!#REF!</definedName>
    <definedName name="____________________________________________TZ323">'[8]BASE ORIGINAL'!#REF!</definedName>
    <definedName name="____________________________________________TZ324" localSheetId="5">'[8]BASE ORIGINAL'!#REF!</definedName>
    <definedName name="____________________________________________TZ324" localSheetId="6">'[8]BASE ORIGINAL'!#REF!</definedName>
    <definedName name="____________________________________________TZ324">'[8]BASE ORIGINAL'!#REF!</definedName>
    <definedName name="____________________________________________TZ32510" localSheetId="5">[7]BASE!$D$106</definedName>
    <definedName name="____________________________________________TZ32510" localSheetId="6">[7]BASE!$D$106</definedName>
    <definedName name="____________________________________________TZ32510">[7]BASE!$D$106</definedName>
    <definedName name="___________________________________________ADH12" localSheetId="5">[2]BASE!$D$218</definedName>
    <definedName name="___________________________________________ADH12" localSheetId="6">[2]BASE!$D$218</definedName>
    <definedName name="___________________________________________ADH12">[2]BASE!$D$218</definedName>
    <definedName name="___________________________________________ADM12" localSheetId="5">[2]BASE!$D$219</definedName>
    <definedName name="___________________________________________ADM12" localSheetId="6">[2]BASE!$D$219</definedName>
    <definedName name="___________________________________________ADM12">[2]BASE!$D$219</definedName>
    <definedName name="___________________________________________ADM4" localSheetId="5">[2]BASE!$D$120</definedName>
    <definedName name="___________________________________________ADM4" localSheetId="6">[2]BASE!$D$120</definedName>
    <definedName name="___________________________________________ADM4">[2]BASE!$D$120</definedName>
    <definedName name="___________________________________________AIU1" localSheetId="5">#REF!</definedName>
    <definedName name="___________________________________________AIU1" localSheetId="6">#REF!</definedName>
    <definedName name="___________________________________________AIU1">#REF!</definedName>
    <definedName name="___________________________________________AIU2">[3]BASE!$C$5</definedName>
    <definedName name="___________________________________________BAZ10" localSheetId="5">[2]BASE!$D$270</definedName>
    <definedName name="___________________________________________BAZ10" localSheetId="6">[2]BASE!$D$270</definedName>
    <definedName name="___________________________________________BAZ10">[2]BASE!$D$270</definedName>
    <definedName name="___________________________________________BLO20" localSheetId="5">[2]BASE!$D$56</definedName>
    <definedName name="___________________________________________BLO20" localSheetId="6">[2]BASE!$D$56</definedName>
    <definedName name="___________________________________________BLO20">[2]BASE!$D$56</definedName>
    <definedName name="___________________________________________CAN28" localSheetId="5">[2]BASE!$D$315</definedName>
    <definedName name="___________________________________________CAN28" localSheetId="6">[2]BASE!$D$315</definedName>
    <definedName name="___________________________________________CAN28">[2]BASE!$D$315</definedName>
    <definedName name="___________________________________________Cod1" localSheetId="5">#REF!</definedName>
    <definedName name="___________________________________________Cod1" localSheetId="6">#REF!</definedName>
    <definedName name="___________________________________________Cod1">#REF!</definedName>
    <definedName name="___________________________________________CUA44" localSheetId="5">[2]BASE!$D$253</definedName>
    <definedName name="___________________________________________CUA44" localSheetId="6">[2]BASE!$D$253</definedName>
    <definedName name="___________________________________________CUA44">[2]BASE!$D$253</definedName>
    <definedName name="___________________________________________LA124" localSheetId="5">[2]BASE!$D$64</definedName>
    <definedName name="___________________________________________LA124" localSheetId="6">[2]BASE!$D$64</definedName>
    <definedName name="___________________________________________LA124">[2]BASE!$D$64</definedName>
    <definedName name="___________________________________________LAC18">[4]BASE!$D$252</definedName>
    <definedName name="___________________________________________Po2">[5]REAJUSTESACTA1PROVI!#REF!</definedName>
    <definedName name="___________________________________________R84JH">[4]BASE!$D$172</definedName>
    <definedName name="___________________________________________REP43">[6]BASE!$D$136</definedName>
    <definedName name="___________________________________________TEP44" localSheetId="5">[7]BASE!$D$116</definedName>
    <definedName name="___________________________________________TEP44" localSheetId="6">[7]BASE!$D$116</definedName>
    <definedName name="___________________________________________TEP44">[7]BASE!$D$116</definedName>
    <definedName name="___________________________________________TPE1132" localSheetId="5">#N/A</definedName>
    <definedName name="___________________________________________TPE1132" localSheetId="6">#N/A</definedName>
    <definedName name="___________________________________________TPE1132">#N/A</definedName>
    <definedName name="___________________________________________TPE12" localSheetId="5">#REF!</definedName>
    <definedName name="___________________________________________TPE12" localSheetId="6">#REF!</definedName>
    <definedName name="___________________________________________TPE12">#REF!</definedName>
    <definedName name="___________________________________________TPE1331" localSheetId="5">#N/A</definedName>
    <definedName name="___________________________________________TPE1331" localSheetId="6">#N/A</definedName>
    <definedName name="___________________________________________TPE1331">#N/A</definedName>
    <definedName name="___________________________________________TPE1702" localSheetId="5">#N/A</definedName>
    <definedName name="___________________________________________TPE1702" localSheetId="6">#N/A</definedName>
    <definedName name="___________________________________________TPE1702">#N/A</definedName>
    <definedName name="___________________________________________TPE1703" localSheetId="5">#N/A</definedName>
    <definedName name="___________________________________________TPE1703" localSheetId="6">#N/A</definedName>
    <definedName name="___________________________________________TPE1703">#N/A</definedName>
    <definedName name="___________________________________________TPE1704" localSheetId="5">#N/A</definedName>
    <definedName name="___________________________________________TPE1704" localSheetId="6">#N/A</definedName>
    <definedName name="___________________________________________TPE1704">#N/A</definedName>
    <definedName name="___________________________________________TPE1706" localSheetId="5">#N/A</definedName>
    <definedName name="___________________________________________TPE1706" localSheetId="6">#N/A</definedName>
    <definedName name="___________________________________________TPE1706">#N/A</definedName>
    <definedName name="___________________________________________TPE1708" localSheetId="5">#N/A</definedName>
    <definedName name="___________________________________________TPE1708" localSheetId="6">#N/A</definedName>
    <definedName name="___________________________________________TPE1708">#N/A</definedName>
    <definedName name="___________________________________________TPE1710" localSheetId="5">#N/A</definedName>
    <definedName name="___________________________________________TPE1710" localSheetId="6">#N/A</definedName>
    <definedName name="___________________________________________TPE1710">#N/A</definedName>
    <definedName name="___________________________________________TPE1735" localSheetId="5">#N/A</definedName>
    <definedName name="___________________________________________TPE1735" localSheetId="6">#N/A</definedName>
    <definedName name="___________________________________________TPE1735">#N/A</definedName>
    <definedName name="___________________________________________TPE1763" localSheetId="5">#N/A</definedName>
    <definedName name="___________________________________________TPE1763" localSheetId="6">#N/A</definedName>
    <definedName name="___________________________________________TPE1763">#N/A</definedName>
    <definedName name="___________________________________________TPE1790" localSheetId="5">#N/A</definedName>
    <definedName name="___________________________________________TPE1790" localSheetId="6">#N/A</definedName>
    <definedName name="___________________________________________TPE1790">#N/A</definedName>
    <definedName name="___________________________________________TPF12" localSheetId="5">[2]BASE!$D$217</definedName>
    <definedName name="___________________________________________TPF12" localSheetId="6">[2]BASE!$D$217</definedName>
    <definedName name="___________________________________________TPF12">[2]BASE!$D$217</definedName>
    <definedName name="___________________________________________TUZ22" localSheetId="5">'[2]BASE ORIGINAL'!#REF!</definedName>
    <definedName name="___________________________________________TUZ22" localSheetId="6">'[2]BASE ORIGINAL'!#REF!</definedName>
    <definedName name="___________________________________________TUZ22">'[2]BASE ORIGINAL'!#REF!</definedName>
    <definedName name="___________________________________________TUZ36" localSheetId="5">'[2]BASE ORIGINAL'!#REF!</definedName>
    <definedName name="___________________________________________TUZ36" localSheetId="6">'[2]BASE ORIGINAL'!#REF!</definedName>
    <definedName name="___________________________________________TUZ36">'[2]BASE ORIGINAL'!#REF!</definedName>
    <definedName name="___________________________________________TZ2110" localSheetId="5">[2]BASE!$D$79</definedName>
    <definedName name="___________________________________________TZ2110" localSheetId="6">[2]BASE!$D$79</definedName>
    <definedName name="___________________________________________TZ2110">[2]BASE!$D$79</definedName>
    <definedName name="___________________________________________TZ214" localSheetId="5">#N/A</definedName>
    <definedName name="___________________________________________TZ214" localSheetId="6">#N/A</definedName>
    <definedName name="___________________________________________TZ214">#N/A</definedName>
    <definedName name="___________________________________________TZ216" localSheetId="5">[7]BASE!$D$87</definedName>
    <definedName name="___________________________________________TZ216" localSheetId="6">[7]BASE!$D$87</definedName>
    <definedName name="___________________________________________TZ216">[7]BASE!$D$87</definedName>
    <definedName name="___________________________________________TZ268">[4]BASE!$D$85</definedName>
    <definedName name="___________________________________________TZ323" localSheetId="5">'[2]BASE ORIGINAL'!#REF!</definedName>
    <definedName name="___________________________________________TZ323" localSheetId="6">'[2]BASE ORIGINAL'!#REF!</definedName>
    <definedName name="___________________________________________TZ323">'[2]BASE ORIGINAL'!#REF!</definedName>
    <definedName name="___________________________________________TZ324" localSheetId="5">'[2]BASE ORIGINAL'!#REF!</definedName>
    <definedName name="___________________________________________TZ324" localSheetId="6">'[2]BASE ORIGINAL'!#REF!</definedName>
    <definedName name="___________________________________________TZ324">'[2]BASE ORIGINAL'!#REF!</definedName>
    <definedName name="___________________________________________TZ32510" localSheetId="5">#N/A</definedName>
    <definedName name="___________________________________________TZ32510" localSheetId="6">#N/A</definedName>
    <definedName name="___________________________________________TZ32510">#N/A</definedName>
    <definedName name="__________________________________________ADH12" localSheetId="5">[2]BASE!$D$218</definedName>
    <definedName name="__________________________________________ADH12" localSheetId="6">[2]BASE!$D$218</definedName>
    <definedName name="__________________________________________ADH12">[2]BASE!$D$218</definedName>
    <definedName name="__________________________________________ADM12" localSheetId="5">[2]BASE!$D$219</definedName>
    <definedName name="__________________________________________ADM12" localSheetId="6">[2]BASE!$D$219</definedName>
    <definedName name="__________________________________________ADM12">[2]BASE!$D$219</definedName>
    <definedName name="__________________________________________ADM4" localSheetId="5">[2]BASE!$D$120</definedName>
    <definedName name="__________________________________________ADM4" localSheetId="6">[2]BASE!$D$120</definedName>
    <definedName name="__________________________________________ADM4">[2]BASE!$D$120</definedName>
    <definedName name="__________________________________________AIU1" localSheetId="5">#REF!</definedName>
    <definedName name="__________________________________________AIU1" localSheetId="6">#REF!</definedName>
    <definedName name="__________________________________________AIU1">#REF!</definedName>
    <definedName name="__________________________________________AIU2">[3]BASE!$C$5</definedName>
    <definedName name="__________________________________________BAZ10" localSheetId="5">[2]BASE!$D$270</definedName>
    <definedName name="__________________________________________BAZ10" localSheetId="6">[2]BASE!$D$270</definedName>
    <definedName name="__________________________________________BAZ10">[2]BASE!$D$270</definedName>
    <definedName name="__________________________________________BLO20" localSheetId="5">[2]BASE!$D$56</definedName>
    <definedName name="__________________________________________BLO20" localSheetId="6">[2]BASE!$D$56</definedName>
    <definedName name="__________________________________________BLO20">[2]BASE!$D$56</definedName>
    <definedName name="__________________________________________CAN28" localSheetId="5">[2]BASE!$D$315</definedName>
    <definedName name="__________________________________________CAN28" localSheetId="6">[2]BASE!$D$315</definedName>
    <definedName name="__________________________________________CAN28">[2]BASE!$D$315</definedName>
    <definedName name="__________________________________________Cod1" localSheetId="5">#REF!</definedName>
    <definedName name="__________________________________________Cod1" localSheetId="6">#REF!</definedName>
    <definedName name="__________________________________________Cod1">#REF!</definedName>
    <definedName name="__________________________________________CUA44" localSheetId="5">[2]BASE!$D$253</definedName>
    <definedName name="__________________________________________CUA44" localSheetId="6">[2]BASE!$D$253</definedName>
    <definedName name="__________________________________________CUA44">[2]BASE!$D$253</definedName>
    <definedName name="__________________________________________LA124" localSheetId="5">[2]BASE!$D$64</definedName>
    <definedName name="__________________________________________LA124" localSheetId="6">[2]BASE!$D$64</definedName>
    <definedName name="__________________________________________LA124">[2]BASE!$D$64</definedName>
    <definedName name="__________________________________________LAC18">[4]BASE!$D$252</definedName>
    <definedName name="__________________________________________Po2">[5]REAJUSTESACTA1PROVI!#REF!</definedName>
    <definedName name="__________________________________________R84JH">[4]BASE!$D$172</definedName>
    <definedName name="__________________________________________REP43">[6]BASE!$D$136</definedName>
    <definedName name="__________________________________________TEP44" localSheetId="5">#N/A</definedName>
    <definedName name="__________________________________________TEP44" localSheetId="6">#N/A</definedName>
    <definedName name="__________________________________________TEP44">#N/A</definedName>
    <definedName name="__________________________________________TPE1132" localSheetId="5">[7]BASE!#REF!</definedName>
    <definedName name="__________________________________________TPE1132" localSheetId="6">[7]BASE!#REF!</definedName>
    <definedName name="__________________________________________TPE1132">[7]BASE!#REF!</definedName>
    <definedName name="__________________________________________TPE12" localSheetId="5">#REF!</definedName>
    <definedName name="__________________________________________TPE12" localSheetId="6">#REF!</definedName>
    <definedName name="__________________________________________TPE12">#REF!</definedName>
    <definedName name="__________________________________________TPE1331" localSheetId="5">[7]BASE!#REF!</definedName>
    <definedName name="__________________________________________TPE1331" localSheetId="6">[7]BASE!#REF!</definedName>
    <definedName name="__________________________________________TPE1331">[7]BASE!#REF!</definedName>
    <definedName name="__________________________________________TPE1702" localSheetId="5">[7]BASE!#REF!</definedName>
    <definedName name="__________________________________________TPE1702" localSheetId="6">[7]BASE!#REF!</definedName>
    <definedName name="__________________________________________TPE1702">[7]BASE!#REF!</definedName>
    <definedName name="__________________________________________TPE1703" localSheetId="5">[7]BASE!#REF!</definedName>
    <definedName name="__________________________________________TPE1703" localSheetId="6">[7]BASE!#REF!</definedName>
    <definedName name="__________________________________________TPE1703">[7]BASE!#REF!</definedName>
    <definedName name="__________________________________________TPE1704" localSheetId="5">[7]BASE!#REF!</definedName>
    <definedName name="__________________________________________TPE1704" localSheetId="6">[7]BASE!#REF!</definedName>
    <definedName name="__________________________________________TPE1704">[7]BASE!#REF!</definedName>
    <definedName name="__________________________________________TPE1706" localSheetId="5">[7]BASE!#REF!</definedName>
    <definedName name="__________________________________________TPE1706" localSheetId="6">[7]BASE!#REF!</definedName>
    <definedName name="__________________________________________TPE1706">[7]BASE!#REF!</definedName>
    <definedName name="__________________________________________TPE1708" localSheetId="5">[7]BASE!#REF!</definedName>
    <definedName name="__________________________________________TPE1708" localSheetId="6">[7]BASE!#REF!</definedName>
    <definedName name="__________________________________________TPE1708">[7]BASE!#REF!</definedName>
    <definedName name="__________________________________________TPE1710" localSheetId="5">[7]BASE!#REF!</definedName>
    <definedName name="__________________________________________TPE1710" localSheetId="6">[7]BASE!#REF!</definedName>
    <definedName name="__________________________________________TPE1710">[7]BASE!#REF!</definedName>
    <definedName name="__________________________________________TPE1735" localSheetId="5">[7]BASE!#REF!</definedName>
    <definedName name="__________________________________________TPE1735" localSheetId="6">[7]BASE!#REF!</definedName>
    <definedName name="__________________________________________TPE1735">[7]BASE!#REF!</definedName>
    <definedName name="__________________________________________TPE1763" localSheetId="5">[7]BASE!#REF!</definedName>
    <definedName name="__________________________________________TPE1763" localSheetId="6">[7]BASE!#REF!</definedName>
    <definedName name="__________________________________________TPE1763">[7]BASE!#REF!</definedName>
    <definedName name="__________________________________________TPE1790" localSheetId="5">[7]BASE!#REF!</definedName>
    <definedName name="__________________________________________TPE1790" localSheetId="6">[7]BASE!#REF!</definedName>
    <definedName name="__________________________________________TPE1790">[7]BASE!#REF!</definedName>
    <definedName name="__________________________________________TPF12" localSheetId="5">[2]BASE!$D$217</definedName>
    <definedName name="__________________________________________TPF12" localSheetId="6">[2]BASE!$D$217</definedName>
    <definedName name="__________________________________________TPF12">[2]BASE!$D$217</definedName>
    <definedName name="__________________________________________TUZ22" localSheetId="5">'[9]BASE ORIGINAL'!#REF!</definedName>
    <definedName name="__________________________________________TUZ22" localSheetId="6">'[9]BASE ORIGINAL'!#REF!</definedName>
    <definedName name="__________________________________________TUZ22">'[9]BASE ORIGINAL'!#REF!</definedName>
    <definedName name="__________________________________________TUZ36" localSheetId="5">'[9]BASE ORIGINAL'!#REF!</definedName>
    <definedName name="__________________________________________TUZ36" localSheetId="6">'[9]BASE ORIGINAL'!#REF!</definedName>
    <definedName name="__________________________________________TUZ36">'[9]BASE ORIGINAL'!#REF!</definedName>
    <definedName name="__________________________________________TZ2110" localSheetId="5">[2]BASE!$D$79</definedName>
    <definedName name="__________________________________________TZ2110" localSheetId="6">[2]BASE!$D$79</definedName>
    <definedName name="__________________________________________TZ2110">[2]BASE!$D$79</definedName>
    <definedName name="__________________________________________TZ214" localSheetId="5">[7]BASE!$D$86</definedName>
    <definedName name="__________________________________________TZ214" localSheetId="6">[7]BASE!$D$86</definedName>
    <definedName name="__________________________________________TZ214">[7]BASE!$D$86</definedName>
    <definedName name="__________________________________________TZ216" localSheetId="5">#N/A</definedName>
    <definedName name="__________________________________________TZ216" localSheetId="6">#N/A</definedName>
    <definedName name="__________________________________________TZ216">#N/A</definedName>
    <definedName name="__________________________________________TZ268">[4]BASE!$D$85</definedName>
    <definedName name="__________________________________________TZ323" localSheetId="5">'[9]BASE ORIGINAL'!#REF!</definedName>
    <definedName name="__________________________________________TZ323" localSheetId="6">'[9]BASE ORIGINAL'!#REF!</definedName>
    <definedName name="__________________________________________TZ323">'[9]BASE ORIGINAL'!#REF!</definedName>
    <definedName name="__________________________________________TZ324" localSheetId="5">'[9]BASE ORIGINAL'!#REF!</definedName>
    <definedName name="__________________________________________TZ324" localSheetId="6">'[9]BASE ORIGINAL'!#REF!</definedName>
    <definedName name="__________________________________________TZ324">'[9]BASE ORIGINAL'!#REF!</definedName>
    <definedName name="__________________________________________TZ32510" localSheetId="5">[7]BASE!$D$106</definedName>
    <definedName name="__________________________________________TZ32510" localSheetId="6">[7]BASE!$D$106</definedName>
    <definedName name="__________________________________________TZ32510">[7]BASE!$D$106</definedName>
    <definedName name="_________________________________________ADH12" localSheetId="5">[2]BASE!$D$218</definedName>
    <definedName name="_________________________________________ADH12" localSheetId="6">[2]BASE!$D$218</definedName>
    <definedName name="_________________________________________ADH12">[2]BASE!$D$218</definedName>
    <definedName name="_________________________________________ADM12" localSheetId="5">[2]BASE!$D$219</definedName>
    <definedName name="_________________________________________ADM12" localSheetId="6">[2]BASE!$D$219</definedName>
    <definedName name="_________________________________________ADM12">[2]BASE!$D$219</definedName>
    <definedName name="_________________________________________ADM4" localSheetId="5">[2]BASE!$D$120</definedName>
    <definedName name="_________________________________________ADM4" localSheetId="6">[2]BASE!$D$120</definedName>
    <definedName name="_________________________________________ADM4">[2]BASE!$D$120</definedName>
    <definedName name="_________________________________________AIU1" localSheetId="5">#REF!</definedName>
    <definedName name="_________________________________________AIU1" localSheetId="6">#REF!</definedName>
    <definedName name="_________________________________________AIU1">#REF!</definedName>
    <definedName name="_________________________________________AIU2">[3]BASE!$C$5</definedName>
    <definedName name="_________________________________________BAZ10" localSheetId="5">[2]BASE!$D$270</definedName>
    <definedName name="_________________________________________BAZ10" localSheetId="6">[2]BASE!$D$270</definedName>
    <definedName name="_________________________________________BAZ10">[2]BASE!$D$270</definedName>
    <definedName name="_________________________________________BLO20" localSheetId="5">[2]BASE!$D$56</definedName>
    <definedName name="_________________________________________BLO20" localSheetId="6">[2]BASE!$D$56</definedName>
    <definedName name="_________________________________________BLO20">[2]BASE!$D$56</definedName>
    <definedName name="_________________________________________CAN28" localSheetId="5">[2]BASE!$D$315</definedName>
    <definedName name="_________________________________________CAN28" localSheetId="6">[2]BASE!$D$315</definedName>
    <definedName name="_________________________________________CAN28">[2]BASE!$D$315</definedName>
    <definedName name="_________________________________________Cod1" localSheetId="5">#REF!</definedName>
    <definedName name="_________________________________________Cod1" localSheetId="6">#REF!</definedName>
    <definedName name="_________________________________________Cod1">#REF!</definedName>
    <definedName name="_________________________________________CUA44" localSheetId="5">[2]BASE!$D$253</definedName>
    <definedName name="_________________________________________CUA44" localSheetId="6">[2]BASE!$D$253</definedName>
    <definedName name="_________________________________________CUA44">[2]BASE!$D$253</definedName>
    <definedName name="_________________________________________LA124" localSheetId="5">[2]BASE!$D$64</definedName>
    <definedName name="_________________________________________LA124" localSheetId="6">[2]BASE!$D$64</definedName>
    <definedName name="_________________________________________LA124">[2]BASE!$D$64</definedName>
    <definedName name="_________________________________________LAC18">[4]BASE!$D$252</definedName>
    <definedName name="_________________________________________Po2">[5]REAJUSTESACTA1PROVI!#REF!</definedName>
    <definedName name="_________________________________________R84JH">[4]BASE!$D$172</definedName>
    <definedName name="_________________________________________REP43">[6]BASE!$D$136</definedName>
    <definedName name="_________________________________________TEP44" localSheetId="5">#N/A</definedName>
    <definedName name="_________________________________________TEP44" localSheetId="6">#N/A</definedName>
    <definedName name="_________________________________________TEP44">#N/A</definedName>
    <definedName name="_________________________________________TPE1132" localSheetId="5">#N/A</definedName>
    <definedName name="_________________________________________TPE1132" localSheetId="6">#N/A</definedName>
    <definedName name="_________________________________________TPE1132">#N/A</definedName>
    <definedName name="_________________________________________TPE12" localSheetId="5">#REF!</definedName>
    <definedName name="_________________________________________TPE12" localSheetId="6">#REF!</definedName>
    <definedName name="_________________________________________TPE12">#REF!</definedName>
    <definedName name="_________________________________________TPE1331" localSheetId="5">#N/A</definedName>
    <definedName name="_________________________________________TPE1331" localSheetId="6">#N/A</definedName>
    <definedName name="_________________________________________TPE1331">#N/A</definedName>
    <definedName name="_________________________________________TPE1702" localSheetId="5">#N/A</definedName>
    <definedName name="_________________________________________TPE1702" localSheetId="6">#N/A</definedName>
    <definedName name="_________________________________________TPE1702">#N/A</definedName>
    <definedName name="_________________________________________TPE1703" localSheetId="5">#N/A</definedName>
    <definedName name="_________________________________________TPE1703" localSheetId="6">#N/A</definedName>
    <definedName name="_________________________________________TPE1703">#N/A</definedName>
    <definedName name="_________________________________________TPE1704" localSheetId="5">#N/A</definedName>
    <definedName name="_________________________________________TPE1704" localSheetId="6">#N/A</definedName>
    <definedName name="_________________________________________TPE1704">#N/A</definedName>
    <definedName name="_________________________________________TPE1706" localSheetId="5">#N/A</definedName>
    <definedName name="_________________________________________TPE1706" localSheetId="6">#N/A</definedName>
    <definedName name="_________________________________________TPE1706">#N/A</definedName>
    <definedName name="_________________________________________TPE1708" localSheetId="5">#N/A</definedName>
    <definedName name="_________________________________________TPE1708" localSheetId="6">#N/A</definedName>
    <definedName name="_________________________________________TPE1708">#N/A</definedName>
    <definedName name="_________________________________________TPE1710" localSheetId="5">#N/A</definedName>
    <definedName name="_________________________________________TPE1710" localSheetId="6">#N/A</definedName>
    <definedName name="_________________________________________TPE1710">#N/A</definedName>
    <definedName name="_________________________________________TPE1735" localSheetId="5">#N/A</definedName>
    <definedName name="_________________________________________TPE1735" localSheetId="6">#N/A</definedName>
    <definedName name="_________________________________________TPE1735">#N/A</definedName>
    <definedName name="_________________________________________TPE1763" localSheetId="5">#N/A</definedName>
    <definedName name="_________________________________________TPE1763" localSheetId="6">#N/A</definedName>
    <definedName name="_________________________________________TPE1763">#N/A</definedName>
    <definedName name="_________________________________________TPE1790" localSheetId="5">#N/A</definedName>
    <definedName name="_________________________________________TPE1790" localSheetId="6">#N/A</definedName>
    <definedName name="_________________________________________TPE1790">#N/A</definedName>
    <definedName name="_________________________________________TPF12" localSheetId="5">[2]BASE!$D$217</definedName>
    <definedName name="_________________________________________TPF12" localSheetId="6">[2]BASE!$D$217</definedName>
    <definedName name="_________________________________________TPF12">[2]BASE!$D$217</definedName>
    <definedName name="_________________________________________TUZ22" localSheetId="5">'[2]BASE ORIGINAL'!#REF!</definedName>
    <definedName name="_________________________________________TUZ22" localSheetId="6">'[2]BASE ORIGINAL'!#REF!</definedName>
    <definedName name="_________________________________________TUZ22">'[2]BASE ORIGINAL'!#REF!</definedName>
    <definedName name="_________________________________________TUZ36" localSheetId="5">'[2]BASE ORIGINAL'!#REF!</definedName>
    <definedName name="_________________________________________TUZ36" localSheetId="6">'[2]BASE ORIGINAL'!#REF!</definedName>
    <definedName name="_________________________________________TUZ36">'[2]BASE ORIGINAL'!#REF!</definedName>
    <definedName name="_________________________________________TZ2110" localSheetId="5">[2]BASE!$D$79</definedName>
    <definedName name="_________________________________________TZ2110" localSheetId="6">[2]BASE!$D$79</definedName>
    <definedName name="_________________________________________TZ2110">[2]BASE!$D$79</definedName>
    <definedName name="_________________________________________TZ214" localSheetId="5">#N/A</definedName>
    <definedName name="_________________________________________TZ214" localSheetId="6">#N/A</definedName>
    <definedName name="_________________________________________TZ214">#N/A</definedName>
    <definedName name="_________________________________________TZ216" localSheetId="5">#N/A</definedName>
    <definedName name="_________________________________________TZ216" localSheetId="6">#N/A</definedName>
    <definedName name="_________________________________________TZ216">#N/A</definedName>
    <definedName name="_________________________________________TZ268">[4]BASE!$D$85</definedName>
    <definedName name="_________________________________________TZ323" localSheetId="5">'[2]BASE ORIGINAL'!#REF!</definedName>
    <definedName name="_________________________________________TZ323" localSheetId="6">'[2]BASE ORIGINAL'!#REF!</definedName>
    <definedName name="_________________________________________TZ323">'[2]BASE ORIGINAL'!#REF!</definedName>
    <definedName name="_________________________________________TZ324" localSheetId="5">'[2]BASE ORIGINAL'!#REF!</definedName>
    <definedName name="_________________________________________TZ324" localSheetId="6">'[2]BASE ORIGINAL'!#REF!</definedName>
    <definedName name="_________________________________________TZ324">'[2]BASE ORIGINAL'!#REF!</definedName>
    <definedName name="_________________________________________TZ32510" localSheetId="5">#N/A</definedName>
    <definedName name="_________________________________________TZ32510" localSheetId="6">#N/A</definedName>
    <definedName name="_________________________________________TZ32510">#N/A</definedName>
    <definedName name="________________________________________ADH12" localSheetId="5">[2]BASE!$D$218</definedName>
    <definedName name="________________________________________ADH12" localSheetId="6">[2]BASE!$D$218</definedName>
    <definedName name="________________________________________ADH12">[2]BASE!$D$218</definedName>
    <definedName name="________________________________________ADM12" localSheetId="5">[2]BASE!$D$219</definedName>
    <definedName name="________________________________________ADM12" localSheetId="6">[2]BASE!$D$219</definedName>
    <definedName name="________________________________________ADM12">[2]BASE!$D$219</definedName>
    <definedName name="________________________________________ADM4" localSheetId="5">[2]BASE!$D$120</definedName>
    <definedName name="________________________________________ADM4" localSheetId="6">[2]BASE!$D$120</definedName>
    <definedName name="________________________________________ADM4">[2]BASE!$D$120</definedName>
    <definedName name="________________________________________AIU1" localSheetId="5">#REF!</definedName>
    <definedName name="________________________________________AIU1" localSheetId="6">#REF!</definedName>
    <definedName name="________________________________________AIU1">#REF!</definedName>
    <definedName name="________________________________________AIU2">[3]BASE!$C$5</definedName>
    <definedName name="________________________________________BAZ10" localSheetId="5">[2]BASE!$D$270</definedName>
    <definedName name="________________________________________BAZ10" localSheetId="6">[2]BASE!$D$270</definedName>
    <definedName name="________________________________________BAZ10">[2]BASE!$D$270</definedName>
    <definedName name="________________________________________BLO20" localSheetId="5">[2]BASE!$D$56</definedName>
    <definedName name="________________________________________BLO20" localSheetId="6">[2]BASE!$D$56</definedName>
    <definedName name="________________________________________BLO20">[2]BASE!$D$56</definedName>
    <definedName name="________________________________________CAN28" localSheetId="5">[2]BASE!$D$315</definedName>
    <definedName name="________________________________________CAN28" localSheetId="6">[2]BASE!$D$315</definedName>
    <definedName name="________________________________________CAN28">[2]BASE!$D$315</definedName>
    <definedName name="________________________________________Cod1" localSheetId="5">#REF!</definedName>
    <definedName name="________________________________________Cod1" localSheetId="6">#REF!</definedName>
    <definedName name="________________________________________Cod1">#REF!</definedName>
    <definedName name="________________________________________CUA44" localSheetId="5">[2]BASE!$D$253</definedName>
    <definedName name="________________________________________CUA44" localSheetId="6">[2]BASE!$D$253</definedName>
    <definedName name="________________________________________CUA44">[2]BASE!$D$253</definedName>
    <definedName name="________________________________________LA124" localSheetId="5">[2]BASE!$D$64</definedName>
    <definedName name="________________________________________LA124" localSheetId="6">[2]BASE!$D$64</definedName>
    <definedName name="________________________________________LA124">[2]BASE!$D$64</definedName>
    <definedName name="________________________________________LAC18">[4]BASE!$D$252</definedName>
    <definedName name="________________________________________Po2">[5]REAJUSTESACTA1PROVI!#REF!</definedName>
    <definedName name="________________________________________R84JH">[4]BASE!$D$172</definedName>
    <definedName name="________________________________________REP43">[6]BASE!$D$136</definedName>
    <definedName name="________________________________________TEP44" localSheetId="5">#N/A</definedName>
    <definedName name="________________________________________TEP44" localSheetId="6">#N/A</definedName>
    <definedName name="________________________________________TEP44">#N/A</definedName>
    <definedName name="________________________________________TPE1132" localSheetId="5">#N/A</definedName>
    <definedName name="________________________________________TPE1132" localSheetId="6">#N/A</definedName>
    <definedName name="________________________________________TPE1132">#N/A</definedName>
    <definedName name="________________________________________TPE12" localSheetId="5">#REF!</definedName>
    <definedName name="________________________________________TPE12" localSheetId="6">#REF!</definedName>
    <definedName name="________________________________________TPE12">#REF!</definedName>
    <definedName name="________________________________________TPE1331" localSheetId="5">#N/A</definedName>
    <definedName name="________________________________________TPE1331" localSheetId="6">#N/A</definedName>
    <definedName name="________________________________________TPE1331">#N/A</definedName>
    <definedName name="________________________________________TPE1702" localSheetId="5">#N/A</definedName>
    <definedName name="________________________________________TPE1702" localSheetId="6">#N/A</definedName>
    <definedName name="________________________________________TPE1702">#N/A</definedName>
    <definedName name="________________________________________TPE1703" localSheetId="5">#N/A</definedName>
    <definedName name="________________________________________TPE1703" localSheetId="6">#N/A</definedName>
    <definedName name="________________________________________TPE1703">#N/A</definedName>
    <definedName name="________________________________________TPE1704" localSheetId="5">#N/A</definedName>
    <definedName name="________________________________________TPE1704" localSheetId="6">#N/A</definedName>
    <definedName name="________________________________________TPE1704">#N/A</definedName>
    <definedName name="________________________________________TPE1706" localSheetId="5">#N/A</definedName>
    <definedName name="________________________________________TPE1706" localSheetId="6">#N/A</definedName>
    <definedName name="________________________________________TPE1706">#N/A</definedName>
    <definedName name="________________________________________TPE1708" localSheetId="5">#N/A</definedName>
    <definedName name="________________________________________TPE1708" localSheetId="6">#N/A</definedName>
    <definedName name="________________________________________TPE1708">#N/A</definedName>
    <definedName name="________________________________________TPE1710" localSheetId="5">#N/A</definedName>
    <definedName name="________________________________________TPE1710" localSheetId="6">#N/A</definedName>
    <definedName name="________________________________________TPE1710">#N/A</definedName>
    <definedName name="________________________________________TPE1735" localSheetId="5">#N/A</definedName>
    <definedName name="________________________________________TPE1735" localSheetId="6">#N/A</definedName>
    <definedName name="________________________________________TPE1735">#N/A</definedName>
    <definedName name="________________________________________TPE1763" localSheetId="5">#N/A</definedName>
    <definedName name="________________________________________TPE1763" localSheetId="6">#N/A</definedName>
    <definedName name="________________________________________TPE1763">#N/A</definedName>
    <definedName name="________________________________________TPE1790" localSheetId="5">#N/A</definedName>
    <definedName name="________________________________________TPE1790" localSheetId="6">#N/A</definedName>
    <definedName name="________________________________________TPE1790">#N/A</definedName>
    <definedName name="________________________________________TPF12" localSheetId="5">[2]BASE!$D$217</definedName>
    <definedName name="________________________________________TPF12" localSheetId="6">[2]BASE!$D$217</definedName>
    <definedName name="________________________________________TPF12">[2]BASE!$D$217</definedName>
    <definedName name="________________________________________TUZ22" localSheetId="5">'[2]BASE ORIGINAL'!#REF!</definedName>
    <definedName name="________________________________________TUZ22" localSheetId="6">'[2]BASE ORIGINAL'!#REF!</definedName>
    <definedName name="________________________________________TUZ22">'[2]BASE ORIGINAL'!#REF!</definedName>
    <definedName name="________________________________________TUZ36" localSheetId="5">'[2]BASE ORIGINAL'!#REF!</definedName>
    <definedName name="________________________________________TUZ36" localSheetId="6">'[2]BASE ORIGINAL'!#REF!</definedName>
    <definedName name="________________________________________TUZ36">'[2]BASE ORIGINAL'!#REF!</definedName>
    <definedName name="________________________________________TZ2110" localSheetId="5">[2]BASE!$D$79</definedName>
    <definedName name="________________________________________TZ2110" localSheetId="6">[2]BASE!$D$79</definedName>
    <definedName name="________________________________________TZ2110">[2]BASE!$D$79</definedName>
    <definedName name="________________________________________TZ214" localSheetId="5">#N/A</definedName>
    <definedName name="________________________________________TZ214" localSheetId="6">#N/A</definedName>
    <definedName name="________________________________________TZ214">#N/A</definedName>
    <definedName name="________________________________________TZ216" localSheetId="5">#N/A</definedName>
    <definedName name="________________________________________TZ216" localSheetId="6">#N/A</definedName>
    <definedName name="________________________________________TZ216">#N/A</definedName>
    <definedName name="________________________________________TZ268">[4]BASE!$D$85</definedName>
    <definedName name="________________________________________TZ323" localSheetId="5">'[2]BASE ORIGINAL'!#REF!</definedName>
    <definedName name="________________________________________TZ323" localSheetId="6">'[2]BASE ORIGINAL'!#REF!</definedName>
    <definedName name="________________________________________TZ323">'[2]BASE ORIGINAL'!#REF!</definedName>
    <definedName name="________________________________________TZ324" localSheetId="5">'[2]BASE ORIGINAL'!#REF!</definedName>
    <definedName name="________________________________________TZ324" localSheetId="6">'[2]BASE ORIGINAL'!#REF!</definedName>
    <definedName name="________________________________________TZ324">'[2]BASE ORIGINAL'!#REF!</definedName>
    <definedName name="________________________________________TZ32510" localSheetId="5">#N/A</definedName>
    <definedName name="________________________________________TZ32510" localSheetId="6">#N/A</definedName>
    <definedName name="________________________________________TZ32510">#N/A</definedName>
    <definedName name="_______________________________________ADH12" localSheetId="5">[2]BASE!$D$218</definedName>
    <definedName name="_______________________________________ADH12" localSheetId="6">[2]BASE!$D$218</definedName>
    <definedName name="_______________________________________ADH12">[2]BASE!$D$218</definedName>
    <definedName name="_______________________________________ADM12" localSheetId="5">[2]BASE!$D$219</definedName>
    <definedName name="_______________________________________ADM12" localSheetId="6">[2]BASE!$D$219</definedName>
    <definedName name="_______________________________________ADM12">[2]BASE!$D$219</definedName>
    <definedName name="_______________________________________ADM4" localSheetId="5">[2]BASE!$D$120</definedName>
    <definedName name="_______________________________________ADM4" localSheetId="6">[2]BASE!$D$120</definedName>
    <definedName name="_______________________________________ADM4">[2]BASE!$D$120</definedName>
    <definedName name="_______________________________________AIU1" localSheetId="5">#REF!</definedName>
    <definedName name="_______________________________________AIU1" localSheetId="6">#REF!</definedName>
    <definedName name="_______________________________________AIU1">#REF!</definedName>
    <definedName name="_______________________________________AIU2">[3]BASE!$C$5</definedName>
    <definedName name="_______________________________________BAZ10" localSheetId="5">[2]BASE!$D$270</definedName>
    <definedName name="_______________________________________BAZ10" localSheetId="6">[2]BASE!$D$270</definedName>
    <definedName name="_______________________________________BAZ10">[2]BASE!$D$270</definedName>
    <definedName name="_______________________________________BLO20" localSheetId="5">[2]BASE!$D$56</definedName>
    <definedName name="_______________________________________BLO20" localSheetId="6">[2]BASE!$D$56</definedName>
    <definedName name="_______________________________________BLO20">[2]BASE!$D$56</definedName>
    <definedName name="_______________________________________CAN28" localSheetId="5">[2]BASE!$D$315</definedName>
    <definedName name="_______________________________________CAN28" localSheetId="6">[2]BASE!$D$315</definedName>
    <definedName name="_______________________________________CAN28">[2]BASE!$D$315</definedName>
    <definedName name="_______________________________________Cod1" localSheetId="5">#REF!</definedName>
    <definedName name="_______________________________________Cod1" localSheetId="6">#REF!</definedName>
    <definedName name="_______________________________________Cod1">#REF!</definedName>
    <definedName name="_______________________________________CUA44" localSheetId="5">[2]BASE!$D$253</definedName>
    <definedName name="_______________________________________CUA44" localSheetId="6">[2]BASE!$D$253</definedName>
    <definedName name="_______________________________________CUA44">[2]BASE!$D$253</definedName>
    <definedName name="_______________________________________LA124" localSheetId="5">[2]BASE!$D$64</definedName>
    <definedName name="_______________________________________LA124" localSheetId="6">[2]BASE!$D$64</definedName>
    <definedName name="_______________________________________LA124">[2]BASE!$D$64</definedName>
    <definedName name="_______________________________________LAC18">[4]BASE!$D$252</definedName>
    <definedName name="_______________________________________Po2">[5]REAJUSTESACTA1PROVI!#REF!</definedName>
    <definedName name="_______________________________________R84JH">[4]BASE!$D$172</definedName>
    <definedName name="_______________________________________REP43">[6]BASE!$D$136</definedName>
    <definedName name="_______________________________________TEP44" localSheetId="5">#N/A</definedName>
    <definedName name="_______________________________________TEP44" localSheetId="6">#N/A</definedName>
    <definedName name="_______________________________________TEP44">#N/A</definedName>
    <definedName name="_______________________________________TPE1132" localSheetId="5">#N/A</definedName>
    <definedName name="_______________________________________TPE1132" localSheetId="6">#N/A</definedName>
    <definedName name="_______________________________________TPE1132">#N/A</definedName>
    <definedName name="_______________________________________TPE12" localSheetId="5">#REF!</definedName>
    <definedName name="_______________________________________TPE12" localSheetId="6">#REF!</definedName>
    <definedName name="_______________________________________TPE12">#REF!</definedName>
    <definedName name="_______________________________________TPE1331" localSheetId="5">#N/A</definedName>
    <definedName name="_______________________________________TPE1331" localSheetId="6">#N/A</definedName>
    <definedName name="_______________________________________TPE1331">#N/A</definedName>
    <definedName name="_______________________________________TPE1702" localSheetId="5">#N/A</definedName>
    <definedName name="_______________________________________TPE1702" localSheetId="6">#N/A</definedName>
    <definedName name="_______________________________________TPE1702">#N/A</definedName>
    <definedName name="_______________________________________TPE1703" localSheetId="5">#N/A</definedName>
    <definedName name="_______________________________________TPE1703" localSheetId="6">#N/A</definedName>
    <definedName name="_______________________________________TPE1703">#N/A</definedName>
    <definedName name="_______________________________________TPE1704" localSheetId="5">#N/A</definedName>
    <definedName name="_______________________________________TPE1704" localSheetId="6">#N/A</definedName>
    <definedName name="_______________________________________TPE1704">#N/A</definedName>
    <definedName name="_______________________________________TPE1706" localSheetId="5">#N/A</definedName>
    <definedName name="_______________________________________TPE1706" localSheetId="6">#N/A</definedName>
    <definedName name="_______________________________________TPE1706">#N/A</definedName>
    <definedName name="_______________________________________TPE1708" localSheetId="5">#N/A</definedName>
    <definedName name="_______________________________________TPE1708" localSheetId="6">#N/A</definedName>
    <definedName name="_______________________________________TPE1708">#N/A</definedName>
    <definedName name="_______________________________________TPE1710" localSheetId="5">#N/A</definedName>
    <definedName name="_______________________________________TPE1710" localSheetId="6">#N/A</definedName>
    <definedName name="_______________________________________TPE1710">#N/A</definedName>
    <definedName name="_______________________________________TPE1735" localSheetId="5">#N/A</definedName>
    <definedName name="_______________________________________TPE1735" localSheetId="6">#N/A</definedName>
    <definedName name="_______________________________________TPE1735">#N/A</definedName>
    <definedName name="_______________________________________TPE1763" localSheetId="5">#N/A</definedName>
    <definedName name="_______________________________________TPE1763" localSheetId="6">#N/A</definedName>
    <definedName name="_______________________________________TPE1763">#N/A</definedName>
    <definedName name="_______________________________________TPE1790" localSheetId="5">#N/A</definedName>
    <definedName name="_______________________________________TPE1790" localSheetId="6">#N/A</definedName>
    <definedName name="_______________________________________TPE1790">#N/A</definedName>
    <definedName name="_______________________________________TPF12" localSheetId="5">[2]BASE!$D$217</definedName>
    <definedName name="_______________________________________TPF12" localSheetId="6">[2]BASE!$D$217</definedName>
    <definedName name="_______________________________________TPF12">[2]BASE!$D$217</definedName>
    <definedName name="_______________________________________TUZ22" localSheetId="5">'[2]BASE ORIGINAL'!#REF!</definedName>
    <definedName name="_______________________________________TUZ22" localSheetId="6">'[2]BASE ORIGINAL'!#REF!</definedName>
    <definedName name="_______________________________________TUZ22">'[2]BASE ORIGINAL'!#REF!</definedName>
    <definedName name="_______________________________________TUZ36" localSheetId="5">'[2]BASE ORIGINAL'!#REF!</definedName>
    <definedName name="_______________________________________TUZ36" localSheetId="6">'[2]BASE ORIGINAL'!#REF!</definedName>
    <definedName name="_______________________________________TUZ36">'[2]BASE ORIGINAL'!#REF!</definedName>
    <definedName name="_______________________________________TZ2110" localSheetId="5">[2]BASE!$D$79</definedName>
    <definedName name="_______________________________________TZ2110" localSheetId="6">[2]BASE!$D$79</definedName>
    <definedName name="_______________________________________TZ2110">[2]BASE!$D$79</definedName>
    <definedName name="_______________________________________TZ214" localSheetId="5">#N/A</definedName>
    <definedName name="_______________________________________TZ214" localSheetId="6">#N/A</definedName>
    <definedName name="_______________________________________TZ214">#N/A</definedName>
    <definedName name="_______________________________________TZ216" localSheetId="5">#N/A</definedName>
    <definedName name="_______________________________________TZ216" localSheetId="6">#N/A</definedName>
    <definedName name="_______________________________________TZ216">#N/A</definedName>
    <definedName name="_______________________________________TZ268">[4]BASE!$D$85</definedName>
    <definedName name="_______________________________________TZ323" localSheetId="5">'[2]BASE ORIGINAL'!#REF!</definedName>
    <definedName name="_______________________________________TZ323" localSheetId="6">'[2]BASE ORIGINAL'!#REF!</definedName>
    <definedName name="_______________________________________TZ323">'[2]BASE ORIGINAL'!#REF!</definedName>
    <definedName name="_______________________________________TZ324" localSheetId="5">'[2]BASE ORIGINAL'!#REF!</definedName>
    <definedName name="_______________________________________TZ324" localSheetId="6">'[2]BASE ORIGINAL'!#REF!</definedName>
    <definedName name="_______________________________________TZ324">'[2]BASE ORIGINAL'!#REF!</definedName>
    <definedName name="_______________________________________TZ32510" localSheetId="5">#N/A</definedName>
    <definedName name="_______________________________________TZ32510" localSheetId="6">#N/A</definedName>
    <definedName name="_______________________________________TZ32510">#N/A</definedName>
    <definedName name="______________________________________ADH12" localSheetId="5">[2]BASE!$D$218</definedName>
    <definedName name="______________________________________ADH12" localSheetId="6">[2]BASE!$D$218</definedName>
    <definedName name="______________________________________ADH12">[2]BASE!$D$218</definedName>
    <definedName name="______________________________________ADM12" localSheetId="5">[2]BASE!$D$219</definedName>
    <definedName name="______________________________________ADM12" localSheetId="6">[2]BASE!$D$219</definedName>
    <definedName name="______________________________________ADM12">[2]BASE!$D$219</definedName>
    <definedName name="______________________________________ADM4" localSheetId="5">[2]BASE!$D$120</definedName>
    <definedName name="______________________________________ADM4" localSheetId="6">[2]BASE!$D$120</definedName>
    <definedName name="______________________________________ADM4">[2]BASE!$D$120</definedName>
    <definedName name="______________________________________AIU1" localSheetId="5">#REF!</definedName>
    <definedName name="______________________________________AIU1" localSheetId="6">#REF!</definedName>
    <definedName name="______________________________________AIU1">#REF!</definedName>
    <definedName name="______________________________________AIU2">[3]BASE!$C$5</definedName>
    <definedName name="______________________________________BAZ10" localSheetId="5">[2]BASE!$D$270</definedName>
    <definedName name="______________________________________BAZ10" localSheetId="6">[2]BASE!$D$270</definedName>
    <definedName name="______________________________________BAZ10">[2]BASE!$D$270</definedName>
    <definedName name="______________________________________BLO20" localSheetId="5">[2]BASE!$D$56</definedName>
    <definedName name="______________________________________BLO20" localSheetId="6">[2]BASE!$D$56</definedName>
    <definedName name="______________________________________BLO20">[2]BASE!$D$56</definedName>
    <definedName name="______________________________________CAN28" localSheetId="5">[2]BASE!$D$315</definedName>
    <definedName name="______________________________________CAN28" localSheetId="6">[2]BASE!$D$315</definedName>
    <definedName name="______________________________________CAN28">[2]BASE!$D$315</definedName>
    <definedName name="______________________________________Cod1" localSheetId="5">#REF!</definedName>
    <definedName name="______________________________________Cod1" localSheetId="6">#REF!</definedName>
    <definedName name="______________________________________Cod1">#REF!</definedName>
    <definedName name="______________________________________CUA44" localSheetId="5">[2]BASE!$D$253</definedName>
    <definedName name="______________________________________CUA44" localSheetId="6">[2]BASE!$D$253</definedName>
    <definedName name="______________________________________CUA44">[2]BASE!$D$253</definedName>
    <definedName name="______________________________________LA124" localSheetId="5">[2]BASE!$D$64</definedName>
    <definedName name="______________________________________LA124" localSheetId="6">[2]BASE!$D$64</definedName>
    <definedName name="______________________________________LA124">[2]BASE!$D$64</definedName>
    <definedName name="______________________________________LAC18">[4]BASE!$D$252</definedName>
    <definedName name="______________________________________Po2">[5]REAJUSTESACTA1PROVI!#REF!</definedName>
    <definedName name="______________________________________R84JH">[4]BASE!$D$172</definedName>
    <definedName name="______________________________________REP43">[6]BASE!$D$136</definedName>
    <definedName name="______________________________________TEP44" localSheetId="5">[7]BASE!$D$116</definedName>
    <definedName name="______________________________________TEP44" localSheetId="6">[7]BASE!$D$116</definedName>
    <definedName name="______________________________________TEP44">[7]BASE!$D$116</definedName>
    <definedName name="______________________________________TPE1132" localSheetId="5">#N/A</definedName>
    <definedName name="______________________________________TPE1132" localSheetId="6">#N/A</definedName>
    <definedName name="______________________________________TPE1132">#N/A</definedName>
    <definedName name="______________________________________TPE12" localSheetId="5">#REF!</definedName>
    <definedName name="______________________________________TPE12" localSheetId="6">#REF!</definedName>
    <definedName name="______________________________________TPE12">#REF!</definedName>
    <definedName name="______________________________________TPE1331" localSheetId="5">#N/A</definedName>
    <definedName name="______________________________________TPE1331" localSheetId="6">#N/A</definedName>
    <definedName name="______________________________________TPE1331">#N/A</definedName>
    <definedName name="______________________________________TPE1702" localSheetId="5">#N/A</definedName>
    <definedName name="______________________________________TPE1702" localSheetId="6">#N/A</definedName>
    <definedName name="______________________________________TPE1702">#N/A</definedName>
    <definedName name="______________________________________TPE1703" localSheetId="5">#N/A</definedName>
    <definedName name="______________________________________TPE1703" localSheetId="6">#N/A</definedName>
    <definedName name="______________________________________TPE1703">#N/A</definedName>
    <definedName name="______________________________________TPE1704" localSheetId="5">#N/A</definedName>
    <definedName name="______________________________________TPE1704" localSheetId="6">#N/A</definedName>
    <definedName name="______________________________________TPE1704">#N/A</definedName>
    <definedName name="______________________________________TPE1706" localSheetId="5">#N/A</definedName>
    <definedName name="______________________________________TPE1706" localSheetId="6">#N/A</definedName>
    <definedName name="______________________________________TPE1706">#N/A</definedName>
    <definedName name="______________________________________TPE1708" localSheetId="5">#N/A</definedName>
    <definedName name="______________________________________TPE1708" localSheetId="6">#N/A</definedName>
    <definedName name="______________________________________TPE1708">#N/A</definedName>
    <definedName name="______________________________________TPE1710" localSheetId="5">#N/A</definedName>
    <definedName name="______________________________________TPE1710" localSheetId="6">#N/A</definedName>
    <definedName name="______________________________________TPE1710">#N/A</definedName>
    <definedName name="______________________________________TPE1735" localSheetId="5">#N/A</definedName>
    <definedName name="______________________________________TPE1735" localSheetId="6">#N/A</definedName>
    <definedName name="______________________________________TPE1735">#N/A</definedName>
    <definedName name="______________________________________TPE1763" localSheetId="5">#N/A</definedName>
    <definedName name="______________________________________TPE1763" localSheetId="6">#N/A</definedName>
    <definedName name="______________________________________TPE1763">#N/A</definedName>
    <definedName name="______________________________________TPE1790" localSheetId="5">#N/A</definedName>
    <definedName name="______________________________________TPE1790" localSheetId="6">#N/A</definedName>
    <definedName name="______________________________________TPE1790">#N/A</definedName>
    <definedName name="______________________________________TPF12" localSheetId="5">[2]BASE!$D$217</definedName>
    <definedName name="______________________________________TPF12" localSheetId="6">[2]BASE!$D$217</definedName>
    <definedName name="______________________________________TPF12">[2]BASE!$D$217</definedName>
    <definedName name="______________________________________TUZ22" localSheetId="5">'[2]BASE ORIGINAL'!#REF!</definedName>
    <definedName name="______________________________________TUZ22" localSheetId="6">'[2]BASE ORIGINAL'!#REF!</definedName>
    <definedName name="______________________________________TUZ22">'[2]BASE ORIGINAL'!#REF!</definedName>
    <definedName name="______________________________________TUZ36" localSheetId="5">'[2]BASE ORIGINAL'!#REF!</definedName>
    <definedName name="______________________________________TUZ36" localSheetId="6">'[2]BASE ORIGINAL'!#REF!</definedName>
    <definedName name="______________________________________TUZ36">'[2]BASE ORIGINAL'!#REF!</definedName>
    <definedName name="______________________________________TZ2110" localSheetId="5">[2]BASE!$D$79</definedName>
    <definedName name="______________________________________TZ2110" localSheetId="6">[2]BASE!$D$79</definedName>
    <definedName name="______________________________________TZ2110">[2]BASE!$D$79</definedName>
    <definedName name="______________________________________TZ214" localSheetId="5">#N/A</definedName>
    <definedName name="______________________________________TZ214" localSheetId="6">#N/A</definedName>
    <definedName name="______________________________________TZ214">#N/A</definedName>
    <definedName name="______________________________________TZ216" localSheetId="5">[7]BASE!$D$87</definedName>
    <definedName name="______________________________________TZ216" localSheetId="6">[7]BASE!$D$87</definedName>
    <definedName name="______________________________________TZ216">[7]BASE!$D$87</definedName>
    <definedName name="______________________________________TZ268">[4]BASE!$D$85</definedName>
    <definedName name="______________________________________TZ323" localSheetId="5">'[2]BASE ORIGINAL'!#REF!</definedName>
    <definedName name="______________________________________TZ323" localSheetId="6">'[2]BASE ORIGINAL'!#REF!</definedName>
    <definedName name="______________________________________TZ323">'[2]BASE ORIGINAL'!#REF!</definedName>
    <definedName name="______________________________________TZ324" localSheetId="5">'[2]BASE ORIGINAL'!#REF!</definedName>
    <definedName name="______________________________________TZ324" localSheetId="6">'[2]BASE ORIGINAL'!#REF!</definedName>
    <definedName name="______________________________________TZ324">'[2]BASE ORIGINAL'!#REF!</definedName>
    <definedName name="______________________________________TZ32510" localSheetId="5">#N/A</definedName>
    <definedName name="______________________________________TZ32510" localSheetId="6">#N/A</definedName>
    <definedName name="______________________________________TZ32510">#N/A</definedName>
    <definedName name="_____________________________________ADH12" localSheetId="5">[2]BASE!$D$218</definedName>
    <definedName name="_____________________________________ADH12" localSheetId="6">[2]BASE!$D$218</definedName>
    <definedName name="_____________________________________ADH12">[2]BASE!$D$218</definedName>
    <definedName name="_____________________________________ADM12" localSheetId="5">[2]BASE!$D$219</definedName>
    <definedName name="_____________________________________ADM12" localSheetId="6">[2]BASE!$D$219</definedName>
    <definedName name="_____________________________________ADM12">[2]BASE!$D$219</definedName>
    <definedName name="_____________________________________ADM4" localSheetId="5">[2]BASE!$D$120</definedName>
    <definedName name="_____________________________________ADM4" localSheetId="6">[2]BASE!$D$120</definedName>
    <definedName name="_____________________________________ADM4">[2]BASE!$D$120</definedName>
    <definedName name="_____________________________________AIU1" localSheetId="5">#REF!</definedName>
    <definedName name="_____________________________________AIU1" localSheetId="6">#REF!</definedName>
    <definedName name="_____________________________________AIU1">#REF!</definedName>
    <definedName name="_____________________________________AIU2">[3]BASE!$C$5</definedName>
    <definedName name="_____________________________________BAZ10" localSheetId="5">[2]BASE!$D$270</definedName>
    <definedName name="_____________________________________BAZ10" localSheetId="6">[2]BASE!$D$270</definedName>
    <definedName name="_____________________________________BAZ10">[2]BASE!$D$270</definedName>
    <definedName name="_____________________________________BLO20" localSheetId="5">[2]BASE!$D$56</definedName>
    <definedName name="_____________________________________BLO20" localSheetId="6">[2]BASE!$D$56</definedName>
    <definedName name="_____________________________________BLO20">[2]BASE!$D$56</definedName>
    <definedName name="_____________________________________CAN28" localSheetId="5">[2]BASE!$D$315</definedName>
    <definedName name="_____________________________________CAN28" localSheetId="6">[2]BASE!$D$315</definedName>
    <definedName name="_____________________________________CAN28">[2]BASE!$D$315</definedName>
    <definedName name="_____________________________________Cod1" localSheetId="5">#REF!</definedName>
    <definedName name="_____________________________________Cod1" localSheetId="6">#REF!</definedName>
    <definedName name="_____________________________________Cod1">#REF!</definedName>
    <definedName name="_____________________________________CUA44" localSheetId="5">[2]BASE!$D$253</definedName>
    <definedName name="_____________________________________CUA44" localSheetId="6">[2]BASE!$D$253</definedName>
    <definedName name="_____________________________________CUA44">[2]BASE!$D$253</definedName>
    <definedName name="_____________________________________LA124" localSheetId="5">[2]BASE!$D$64</definedName>
    <definedName name="_____________________________________LA124" localSheetId="6">[2]BASE!$D$64</definedName>
    <definedName name="_____________________________________LA124">[2]BASE!$D$64</definedName>
    <definedName name="_____________________________________LAC18">[4]BASE!$D$252</definedName>
    <definedName name="_____________________________________Po2">[5]REAJUSTESACTA1PROVI!#REF!</definedName>
    <definedName name="_____________________________________R84JH">[4]BASE!$D$172</definedName>
    <definedName name="_____________________________________REP43">[6]BASE!$D$136</definedName>
    <definedName name="_____________________________________TEP44" localSheetId="5">#N/A</definedName>
    <definedName name="_____________________________________TEP44" localSheetId="6">#N/A</definedName>
    <definedName name="_____________________________________TEP44">#N/A</definedName>
    <definedName name="_____________________________________TPE1132" localSheetId="5">[7]BASE!#REF!</definedName>
    <definedName name="_____________________________________TPE1132" localSheetId="6">[7]BASE!#REF!</definedName>
    <definedName name="_____________________________________TPE1132">[7]BASE!#REF!</definedName>
    <definedName name="_____________________________________TPE12" localSheetId="5">#REF!</definedName>
    <definedName name="_____________________________________TPE12" localSheetId="6">#REF!</definedName>
    <definedName name="_____________________________________TPE12">#REF!</definedName>
    <definedName name="_____________________________________TPE1331" localSheetId="5">[7]BASE!#REF!</definedName>
    <definedName name="_____________________________________TPE1331" localSheetId="6">[7]BASE!#REF!</definedName>
    <definedName name="_____________________________________TPE1331">[7]BASE!#REF!</definedName>
    <definedName name="_____________________________________TPE1702" localSheetId="5">[7]BASE!#REF!</definedName>
    <definedName name="_____________________________________TPE1702" localSheetId="6">[7]BASE!#REF!</definedName>
    <definedName name="_____________________________________TPE1702">[7]BASE!#REF!</definedName>
    <definedName name="_____________________________________TPE1703" localSheetId="5">[7]BASE!#REF!</definedName>
    <definedName name="_____________________________________TPE1703" localSheetId="6">[7]BASE!#REF!</definedName>
    <definedName name="_____________________________________TPE1703">[7]BASE!#REF!</definedName>
    <definedName name="_____________________________________TPE1704" localSheetId="5">[7]BASE!#REF!</definedName>
    <definedName name="_____________________________________TPE1704" localSheetId="6">[7]BASE!#REF!</definedName>
    <definedName name="_____________________________________TPE1704">[7]BASE!#REF!</definedName>
    <definedName name="_____________________________________TPE1706" localSheetId="5">[7]BASE!#REF!</definedName>
    <definedName name="_____________________________________TPE1706" localSheetId="6">[7]BASE!#REF!</definedName>
    <definedName name="_____________________________________TPE1706">[7]BASE!#REF!</definedName>
    <definedName name="_____________________________________TPE1708" localSheetId="5">[7]BASE!#REF!</definedName>
    <definedName name="_____________________________________TPE1708" localSheetId="6">[7]BASE!#REF!</definedName>
    <definedName name="_____________________________________TPE1708">[7]BASE!#REF!</definedName>
    <definedName name="_____________________________________TPE1710" localSheetId="5">[7]BASE!#REF!</definedName>
    <definedName name="_____________________________________TPE1710" localSheetId="6">[7]BASE!#REF!</definedName>
    <definedName name="_____________________________________TPE1710">[7]BASE!#REF!</definedName>
    <definedName name="_____________________________________TPE1735" localSheetId="5">[7]BASE!#REF!</definedName>
    <definedName name="_____________________________________TPE1735" localSheetId="6">[7]BASE!#REF!</definedName>
    <definedName name="_____________________________________TPE1735">[7]BASE!#REF!</definedName>
    <definedName name="_____________________________________TPE1763" localSheetId="5">[7]BASE!#REF!</definedName>
    <definedName name="_____________________________________TPE1763" localSheetId="6">[7]BASE!#REF!</definedName>
    <definedName name="_____________________________________TPE1763">[7]BASE!#REF!</definedName>
    <definedName name="_____________________________________TPE1790" localSheetId="5">[7]BASE!#REF!</definedName>
    <definedName name="_____________________________________TPE1790" localSheetId="6">[7]BASE!#REF!</definedName>
    <definedName name="_____________________________________TPE1790">[7]BASE!#REF!</definedName>
    <definedName name="_____________________________________TPF12" localSheetId="5">[2]BASE!$D$217</definedName>
    <definedName name="_____________________________________TPF12" localSheetId="6">[2]BASE!$D$217</definedName>
    <definedName name="_____________________________________TPF12">[2]BASE!$D$217</definedName>
    <definedName name="_____________________________________TUZ22" localSheetId="5">'[9]BASE ORIGINAL'!#REF!</definedName>
    <definedName name="_____________________________________TUZ22" localSheetId="6">'[9]BASE ORIGINAL'!#REF!</definedName>
    <definedName name="_____________________________________TUZ22">'[9]BASE ORIGINAL'!#REF!</definedName>
    <definedName name="_____________________________________TUZ36" localSheetId="5">'[9]BASE ORIGINAL'!#REF!</definedName>
    <definedName name="_____________________________________TUZ36" localSheetId="6">'[9]BASE ORIGINAL'!#REF!</definedName>
    <definedName name="_____________________________________TUZ36">'[9]BASE ORIGINAL'!#REF!</definedName>
    <definedName name="_____________________________________TZ2110" localSheetId="5">[2]BASE!$D$79</definedName>
    <definedName name="_____________________________________TZ2110" localSheetId="6">[2]BASE!$D$79</definedName>
    <definedName name="_____________________________________TZ2110">[2]BASE!$D$79</definedName>
    <definedName name="_____________________________________TZ214" localSheetId="5">[7]BASE!$D$86</definedName>
    <definedName name="_____________________________________TZ214" localSheetId="6">[7]BASE!$D$86</definedName>
    <definedName name="_____________________________________TZ214">[7]BASE!$D$86</definedName>
    <definedName name="_____________________________________TZ216" localSheetId="5">#N/A</definedName>
    <definedName name="_____________________________________TZ216" localSheetId="6">#N/A</definedName>
    <definedName name="_____________________________________TZ216">#N/A</definedName>
    <definedName name="_____________________________________TZ268">[4]BASE!$D$85</definedName>
    <definedName name="_____________________________________TZ323" localSheetId="5">'[9]BASE ORIGINAL'!#REF!</definedName>
    <definedName name="_____________________________________TZ323" localSheetId="6">'[9]BASE ORIGINAL'!#REF!</definedName>
    <definedName name="_____________________________________TZ323">'[9]BASE ORIGINAL'!#REF!</definedName>
    <definedName name="_____________________________________TZ324" localSheetId="5">'[9]BASE ORIGINAL'!#REF!</definedName>
    <definedName name="_____________________________________TZ324" localSheetId="6">'[9]BASE ORIGINAL'!#REF!</definedName>
    <definedName name="_____________________________________TZ324">'[9]BASE ORIGINAL'!#REF!</definedName>
    <definedName name="_____________________________________TZ32510" localSheetId="5">[7]BASE!$D$106</definedName>
    <definedName name="_____________________________________TZ32510" localSheetId="6">[7]BASE!$D$106</definedName>
    <definedName name="_____________________________________TZ32510">[7]BASE!$D$106</definedName>
    <definedName name="____________________________________ADH12" localSheetId="5">[2]BASE!$D$218</definedName>
    <definedName name="____________________________________ADH12" localSheetId="6">[2]BASE!$D$218</definedName>
    <definedName name="____________________________________ADH12">[2]BASE!$D$218</definedName>
    <definedName name="____________________________________ADM12" localSheetId="5">[2]BASE!$D$219</definedName>
    <definedName name="____________________________________ADM12" localSheetId="6">[2]BASE!$D$219</definedName>
    <definedName name="____________________________________ADM12">[2]BASE!$D$219</definedName>
    <definedName name="____________________________________ADM4" localSheetId="5">[2]BASE!$D$120</definedName>
    <definedName name="____________________________________ADM4" localSheetId="6">[2]BASE!$D$120</definedName>
    <definedName name="____________________________________ADM4">[2]BASE!$D$120</definedName>
    <definedName name="____________________________________AIU1" localSheetId="5">#REF!</definedName>
    <definedName name="____________________________________AIU1" localSheetId="6">#REF!</definedName>
    <definedName name="____________________________________AIU1">#REF!</definedName>
    <definedName name="____________________________________AIU2">[3]BASE!$C$5</definedName>
    <definedName name="____________________________________BAZ10" localSheetId="5">[2]BASE!$D$270</definedName>
    <definedName name="____________________________________BAZ10" localSheetId="6">[2]BASE!$D$270</definedName>
    <definedName name="____________________________________BAZ10">[2]BASE!$D$270</definedName>
    <definedName name="____________________________________BLO20" localSheetId="5">[2]BASE!$D$56</definedName>
    <definedName name="____________________________________BLO20" localSheetId="6">[2]BASE!$D$56</definedName>
    <definedName name="____________________________________BLO20">[2]BASE!$D$56</definedName>
    <definedName name="____________________________________CAN28" localSheetId="5">[2]BASE!$D$315</definedName>
    <definedName name="____________________________________CAN28" localSheetId="6">[2]BASE!$D$315</definedName>
    <definedName name="____________________________________CAN28">[2]BASE!$D$315</definedName>
    <definedName name="____________________________________Cod1" localSheetId="5">#REF!</definedName>
    <definedName name="____________________________________Cod1" localSheetId="6">#REF!</definedName>
    <definedName name="____________________________________Cod1">#REF!</definedName>
    <definedName name="____________________________________CUA44" localSheetId="5">[2]BASE!$D$253</definedName>
    <definedName name="____________________________________CUA44" localSheetId="6">[2]BASE!$D$253</definedName>
    <definedName name="____________________________________CUA44">[2]BASE!$D$253</definedName>
    <definedName name="____________________________________LA124" localSheetId="5">[2]BASE!$D$64</definedName>
    <definedName name="____________________________________LA124" localSheetId="6">[2]BASE!$D$64</definedName>
    <definedName name="____________________________________LA124">[2]BASE!$D$64</definedName>
    <definedName name="____________________________________LAC18">[4]BASE!$D$252</definedName>
    <definedName name="____________________________________Po2">[5]REAJUSTESACTA1PROVI!#REF!</definedName>
    <definedName name="____________________________________R84JH">[4]BASE!$D$172</definedName>
    <definedName name="____________________________________REP43">[6]BASE!$D$136</definedName>
    <definedName name="____________________________________TEP44" localSheetId="5">[7]BASE!$D$116</definedName>
    <definedName name="____________________________________TEP44" localSheetId="6">[7]BASE!$D$116</definedName>
    <definedName name="____________________________________TEP44">[7]BASE!$D$116</definedName>
    <definedName name="____________________________________TPE1132" localSheetId="5">#N/A</definedName>
    <definedName name="____________________________________TPE1132" localSheetId="6">#N/A</definedName>
    <definedName name="____________________________________TPE1132">#N/A</definedName>
    <definedName name="____________________________________TPE12" localSheetId="5">#REF!</definedName>
    <definedName name="____________________________________TPE12" localSheetId="6">#REF!</definedName>
    <definedName name="____________________________________TPE12">#REF!</definedName>
    <definedName name="____________________________________TPE1331" localSheetId="5">#N/A</definedName>
    <definedName name="____________________________________TPE1331" localSheetId="6">#N/A</definedName>
    <definedName name="____________________________________TPE1331">#N/A</definedName>
    <definedName name="____________________________________TPE1702" localSheetId="5">#N/A</definedName>
    <definedName name="____________________________________TPE1702" localSheetId="6">#N/A</definedName>
    <definedName name="____________________________________TPE1702">#N/A</definedName>
    <definedName name="____________________________________TPE1703" localSheetId="5">#N/A</definedName>
    <definedName name="____________________________________TPE1703" localSheetId="6">#N/A</definedName>
    <definedName name="____________________________________TPE1703">#N/A</definedName>
    <definedName name="____________________________________TPE1704" localSheetId="5">#N/A</definedName>
    <definedName name="____________________________________TPE1704" localSheetId="6">#N/A</definedName>
    <definedName name="____________________________________TPE1704">#N/A</definedName>
    <definedName name="____________________________________TPE1706" localSheetId="5">#N/A</definedName>
    <definedName name="____________________________________TPE1706" localSheetId="6">#N/A</definedName>
    <definedName name="____________________________________TPE1706">#N/A</definedName>
    <definedName name="____________________________________TPE1708" localSheetId="5">#N/A</definedName>
    <definedName name="____________________________________TPE1708" localSheetId="6">#N/A</definedName>
    <definedName name="____________________________________TPE1708">#N/A</definedName>
    <definedName name="____________________________________TPE1710" localSheetId="5">#N/A</definedName>
    <definedName name="____________________________________TPE1710" localSheetId="6">#N/A</definedName>
    <definedName name="____________________________________TPE1710">#N/A</definedName>
    <definedName name="____________________________________TPE1735" localSheetId="5">#N/A</definedName>
    <definedName name="____________________________________TPE1735" localSheetId="6">#N/A</definedName>
    <definedName name="____________________________________TPE1735">#N/A</definedName>
    <definedName name="____________________________________TPE1763" localSheetId="5">#N/A</definedName>
    <definedName name="____________________________________TPE1763" localSheetId="6">#N/A</definedName>
    <definedName name="____________________________________TPE1763">#N/A</definedName>
    <definedName name="____________________________________TPE1790" localSheetId="5">#N/A</definedName>
    <definedName name="____________________________________TPE1790" localSheetId="6">#N/A</definedName>
    <definedName name="____________________________________TPE1790">#N/A</definedName>
    <definedName name="____________________________________TPF12" localSheetId="5">[2]BASE!$D$217</definedName>
    <definedName name="____________________________________TPF12" localSheetId="6">[2]BASE!$D$217</definedName>
    <definedName name="____________________________________TPF12">[2]BASE!$D$217</definedName>
    <definedName name="____________________________________TUZ22" localSheetId="5">'[2]BASE ORIGINAL'!#REF!</definedName>
    <definedName name="____________________________________TUZ22" localSheetId="6">'[2]BASE ORIGINAL'!#REF!</definedName>
    <definedName name="____________________________________TUZ22">'[2]BASE ORIGINAL'!#REF!</definedName>
    <definedName name="____________________________________TUZ36" localSheetId="5">'[2]BASE ORIGINAL'!#REF!</definedName>
    <definedName name="____________________________________TUZ36" localSheetId="6">'[2]BASE ORIGINAL'!#REF!</definedName>
    <definedName name="____________________________________TUZ36">'[2]BASE ORIGINAL'!#REF!</definedName>
    <definedName name="____________________________________TZ2110" localSheetId="5">[2]BASE!$D$79</definedName>
    <definedName name="____________________________________TZ2110" localSheetId="6">[2]BASE!$D$79</definedName>
    <definedName name="____________________________________TZ2110">[2]BASE!$D$79</definedName>
    <definedName name="____________________________________TZ214" localSheetId="5">#N/A</definedName>
    <definedName name="____________________________________TZ214" localSheetId="6">#N/A</definedName>
    <definedName name="____________________________________TZ214">#N/A</definedName>
    <definedName name="____________________________________TZ216" localSheetId="5">[7]BASE!$D$87</definedName>
    <definedName name="____________________________________TZ216" localSheetId="6">[7]BASE!$D$87</definedName>
    <definedName name="____________________________________TZ216">[7]BASE!$D$87</definedName>
    <definedName name="____________________________________TZ268">[4]BASE!$D$85</definedName>
    <definedName name="____________________________________TZ323" localSheetId="5">'[2]BASE ORIGINAL'!#REF!</definedName>
    <definedName name="____________________________________TZ323" localSheetId="6">'[2]BASE ORIGINAL'!#REF!</definedName>
    <definedName name="____________________________________TZ323">'[2]BASE ORIGINAL'!#REF!</definedName>
    <definedName name="____________________________________TZ324" localSheetId="5">'[2]BASE ORIGINAL'!#REF!</definedName>
    <definedName name="____________________________________TZ324" localSheetId="6">'[2]BASE ORIGINAL'!#REF!</definedName>
    <definedName name="____________________________________TZ324">'[2]BASE ORIGINAL'!#REF!</definedName>
    <definedName name="____________________________________TZ32510" localSheetId="5">#N/A</definedName>
    <definedName name="____________________________________TZ32510" localSheetId="6">#N/A</definedName>
    <definedName name="____________________________________TZ32510">#N/A</definedName>
    <definedName name="___________________________________ADH12" localSheetId="5">[2]BASE!$D$218</definedName>
    <definedName name="___________________________________ADH12" localSheetId="6">[2]BASE!$D$218</definedName>
    <definedName name="___________________________________ADH12">[2]BASE!$D$218</definedName>
    <definedName name="___________________________________ADM12" localSheetId="5">[2]BASE!$D$219</definedName>
    <definedName name="___________________________________ADM12" localSheetId="6">[2]BASE!$D$219</definedName>
    <definedName name="___________________________________ADM12">[2]BASE!$D$219</definedName>
    <definedName name="___________________________________ADM4" localSheetId="5">[2]BASE!$D$120</definedName>
    <definedName name="___________________________________ADM4" localSheetId="6">[2]BASE!$D$120</definedName>
    <definedName name="___________________________________ADM4">[2]BASE!$D$120</definedName>
    <definedName name="___________________________________AIU1" localSheetId="5">#REF!</definedName>
    <definedName name="___________________________________AIU1" localSheetId="6">#REF!</definedName>
    <definedName name="___________________________________AIU1">#REF!</definedName>
    <definedName name="___________________________________AIU2">[3]BASE!$C$5</definedName>
    <definedName name="___________________________________BAZ10" localSheetId="5">[2]BASE!$D$270</definedName>
    <definedName name="___________________________________BAZ10" localSheetId="6">[2]BASE!$D$270</definedName>
    <definedName name="___________________________________BAZ10">[2]BASE!$D$270</definedName>
    <definedName name="___________________________________BLO20" localSheetId="5">[2]BASE!$D$56</definedName>
    <definedName name="___________________________________BLO20" localSheetId="6">[2]BASE!$D$56</definedName>
    <definedName name="___________________________________BLO20">[2]BASE!$D$56</definedName>
    <definedName name="___________________________________CAN28" localSheetId="5">[2]BASE!$D$315</definedName>
    <definedName name="___________________________________CAN28" localSheetId="6">[2]BASE!$D$315</definedName>
    <definedName name="___________________________________CAN28">[2]BASE!$D$315</definedName>
    <definedName name="___________________________________Cod1" localSheetId="5">#REF!</definedName>
    <definedName name="___________________________________Cod1" localSheetId="6">#REF!</definedName>
    <definedName name="___________________________________Cod1">#REF!</definedName>
    <definedName name="___________________________________CUA44" localSheetId="5">[2]BASE!$D$253</definedName>
    <definedName name="___________________________________CUA44" localSheetId="6">[2]BASE!$D$253</definedName>
    <definedName name="___________________________________CUA44">[2]BASE!$D$253</definedName>
    <definedName name="___________________________________LA124" localSheetId="5">[2]BASE!$D$64</definedName>
    <definedName name="___________________________________LA124" localSheetId="6">[2]BASE!$D$64</definedName>
    <definedName name="___________________________________LA124">[2]BASE!$D$64</definedName>
    <definedName name="___________________________________LAC18">[4]BASE!$D$252</definedName>
    <definedName name="___________________________________Po2">[5]REAJUSTESACTA1PROVI!#REF!</definedName>
    <definedName name="___________________________________R84JH">[4]BASE!$D$172</definedName>
    <definedName name="___________________________________REP43">[6]BASE!$D$136</definedName>
    <definedName name="___________________________________TEP44" localSheetId="5">#N/A</definedName>
    <definedName name="___________________________________TEP44" localSheetId="6">#N/A</definedName>
    <definedName name="___________________________________TEP44">#N/A</definedName>
    <definedName name="___________________________________TPE1132" localSheetId="5">[7]BASE!#REF!</definedName>
    <definedName name="___________________________________TPE1132" localSheetId="6">[7]BASE!#REF!</definedName>
    <definedName name="___________________________________TPE1132">[7]BASE!#REF!</definedName>
    <definedName name="___________________________________TPE12" localSheetId="5">#REF!</definedName>
    <definedName name="___________________________________TPE12" localSheetId="6">#REF!</definedName>
    <definedName name="___________________________________TPE12">#REF!</definedName>
    <definedName name="___________________________________TPE1331" localSheetId="5">[7]BASE!#REF!</definedName>
    <definedName name="___________________________________TPE1331" localSheetId="6">[7]BASE!#REF!</definedName>
    <definedName name="___________________________________TPE1331">[7]BASE!#REF!</definedName>
    <definedName name="___________________________________TPE1702" localSheetId="5">[7]BASE!#REF!</definedName>
    <definedName name="___________________________________TPE1702" localSheetId="6">[7]BASE!#REF!</definedName>
    <definedName name="___________________________________TPE1702">[7]BASE!#REF!</definedName>
    <definedName name="___________________________________TPE1703" localSheetId="5">[7]BASE!#REF!</definedName>
    <definedName name="___________________________________TPE1703" localSheetId="6">[7]BASE!#REF!</definedName>
    <definedName name="___________________________________TPE1703">[7]BASE!#REF!</definedName>
    <definedName name="___________________________________TPE1704" localSheetId="5">[7]BASE!#REF!</definedName>
    <definedName name="___________________________________TPE1704" localSheetId="6">[7]BASE!#REF!</definedName>
    <definedName name="___________________________________TPE1704">[7]BASE!#REF!</definedName>
    <definedName name="___________________________________TPE1706" localSheetId="5">[7]BASE!#REF!</definedName>
    <definedName name="___________________________________TPE1706" localSheetId="6">[7]BASE!#REF!</definedName>
    <definedName name="___________________________________TPE1706">[7]BASE!#REF!</definedName>
    <definedName name="___________________________________TPE1708" localSheetId="5">[7]BASE!#REF!</definedName>
    <definedName name="___________________________________TPE1708" localSheetId="6">[7]BASE!#REF!</definedName>
    <definedName name="___________________________________TPE1708">[7]BASE!#REF!</definedName>
    <definedName name="___________________________________TPE1710" localSheetId="5">[7]BASE!#REF!</definedName>
    <definedName name="___________________________________TPE1710" localSheetId="6">[7]BASE!#REF!</definedName>
    <definedName name="___________________________________TPE1710">[7]BASE!#REF!</definedName>
    <definedName name="___________________________________TPE1735" localSheetId="5">[7]BASE!#REF!</definedName>
    <definedName name="___________________________________TPE1735" localSheetId="6">[7]BASE!#REF!</definedName>
    <definedName name="___________________________________TPE1735">[7]BASE!#REF!</definedName>
    <definedName name="___________________________________TPE1763" localSheetId="5">[7]BASE!#REF!</definedName>
    <definedName name="___________________________________TPE1763" localSheetId="6">[7]BASE!#REF!</definedName>
    <definedName name="___________________________________TPE1763">[7]BASE!#REF!</definedName>
    <definedName name="___________________________________TPE1790" localSheetId="5">[7]BASE!#REF!</definedName>
    <definedName name="___________________________________TPE1790" localSheetId="6">[7]BASE!#REF!</definedName>
    <definedName name="___________________________________TPE1790">[7]BASE!#REF!</definedName>
    <definedName name="___________________________________TPF12" localSheetId="5">[2]BASE!$D$217</definedName>
    <definedName name="___________________________________TPF12" localSheetId="6">[2]BASE!$D$217</definedName>
    <definedName name="___________________________________TPF12">[2]BASE!$D$217</definedName>
    <definedName name="___________________________________TUZ22" localSheetId="5">'[9]BASE ORIGINAL'!#REF!</definedName>
    <definedName name="___________________________________TUZ22" localSheetId="6">'[9]BASE ORIGINAL'!#REF!</definedName>
    <definedName name="___________________________________TUZ22">'[9]BASE ORIGINAL'!#REF!</definedName>
    <definedName name="___________________________________TUZ36" localSheetId="5">'[9]BASE ORIGINAL'!#REF!</definedName>
    <definedName name="___________________________________TUZ36" localSheetId="6">'[9]BASE ORIGINAL'!#REF!</definedName>
    <definedName name="___________________________________TUZ36">'[9]BASE ORIGINAL'!#REF!</definedName>
    <definedName name="___________________________________TZ2110" localSheetId="5">[2]BASE!$D$79</definedName>
    <definedName name="___________________________________TZ2110" localSheetId="6">[2]BASE!$D$79</definedName>
    <definedName name="___________________________________TZ2110">[2]BASE!$D$79</definedName>
    <definedName name="___________________________________TZ214" localSheetId="5">[7]BASE!$D$86</definedName>
    <definedName name="___________________________________TZ214" localSheetId="6">[7]BASE!$D$86</definedName>
    <definedName name="___________________________________TZ214">[7]BASE!$D$86</definedName>
    <definedName name="___________________________________TZ216" localSheetId="5">#N/A</definedName>
    <definedName name="___________________________________TZ216" localSheetId="6">#N/A</definedName>
    <definedName name="___________________________________TZ216">#N/A</definedName>
    <definedName name="___________________________________TZ268">[4]BASE!$D$85</definedName>
    <definedName name="___________________________________TZ323" localSheetId="5">'[9]BASE ORIGINAL'!#REF!</definedName>
    <definedName name="___________________________________TZ323" localSheetId="6">'[9]BASE ORIGINAL'!#REF!</definedName>
    <definedName name="___________________________________TZ323">'[9]BASE ORIGINAL'!#REF!</definedName>
    <definedName name="___________________________________TZ324" localSheetId="5">'[9]BASE ORIGINAL'!#REF!</definedName>
    <definedName name="___________________________________TZ324" localSheetId="6">'[9]BASE ORIGINAL'!#REF!</definedName>
    <definedName name="___________________________________TZ324">'[9]BASE ORIGINAL'!#REF!</definedName>
    <definedName name="___________________________________TZ32510" localSheetId="5">[7]BASE!$D$106</definedName>
    <definedName name="___________________________________TZ32510" localSheetId="6">[7]BASE!$D$106</definedName>
    <definedName name="___________________________________TZ32510">[7]BASE!$D$106</definedName>
    <definedName name="__________________________________ADH12" localSheetId="5">[2]BASE!$D$218</definedName>
    <definedName name="__________________________________ADH12" localSheetId="6">[2]BASE!$D$218</definedName>
    <definedName name="__________________________________ADH12">[2]BASE!$D$218</definedName>
    <definedName name="__________________________________ADM12" localSheetId="5">[2]BASE!$D$219</definedName>
    <definedName name="__________________________________ADM12" localSheetId="6">[2]BASE!$D$219</definedName>
    <definedName name="__________________________________ADM12">[2]BASE!$D$219</definedName>
    <definedName name="__________________________________ADM4" localSheetId="5">[2]BASE!$D$120</definedName>
    <definedName name="__________________________________ADM4" localSheetId="6">[2]BASE!$D$120</definedName>
    <definedName name="__________________________________ADM4">[2]BASE!$D$120</definedName>
    <definedName name="__________________________________AIU1" localSheetId="5">#REF!</definedName>
    <definedName name="__________________________________AIU1" localSheetId="6">#REF!</definedName>
    <definedName name="__________________________________AIU1">#REF!</definedName>
    <definedName name="__________________________________AIU2">[3]BASE!$C$5</definedName>
    <definedName name="__________________________________BAZ10" localSheetId="5">[2]BASE!$D$270</definedName>
    <definedName name="__________________________________BAZ10" localSheetId="6">[2]BASE!$D$270</definedName>
    <definedName name="__________________________________BAZ10">[2]BASE!$D$270</definedName>
    <definedName name="__________________________________BLO20" localSheetId="5">[2]BASE!$D$56</definedName>
    <definedName name="__________________________________BLO20" localSheetId="6">[2]BASE!$D$56</definedName>
    <definedName name="__________________________________BLO20">[2]BASE!$D$56</definedName>
    <definedName name="__________________________________CAN28" localSheetId="5">[2]BASE!$D$315</definedName>
    <definedName name="__________________________________CAN28" localSheetId="6">[2]BASE!$D$315</definedName>
    <definedName name="__________________________________CAN28">[2]BASE!$D$315</definedName>
    <definedName name="__________________________________Cod1" localSheetId="5">#REF!</definedName>
    <definedName name="__________________________________Cod1" localSheetId="6">#REF!</definedName>
    <definedName name="__________________________________Cod1">#REF!</definedName>
    <definedName name="__________________________________CUA44" localSheetId="5">[2]BASE!$D$253</definedName>
    <definedName name="__________________________________CUA44" localSheetId="6">[2]BASE!$D$253</definedName>
    <definedName name="__________________________________CUA44">[2]BASE!$D$253</definedName>
    <definedName name="__________________________________LA124" localSheetId="5">[2]BASE!$D$64</definedName>
    <definedName name="__________________________________LA124" localSheetId="6">[2]BASE!$D$64</definedName>
    <definedName name="__________________________________LA124">[2]BASE!$D$64</definedName>
    <definedName name="__________________________________LAC18">[4]BASE!$D$252</definedName>
    <definedName name="__________________________________Po2">[5]REAJUSTESACTA1PROVI!#REF!</definedName>
    <definedName name="__________________________________R84JH">[4]BASE!$D$172</definedName>
    <definedName name="__________________________________REP43">[6]BASE!$D$136</definedName>
    <definedName name="__________________________________TEP44" localSheetId="5">#N/A</definedName>
    <definedName name="__________________________________TEP44" localSheetId="6">#N/A</definedName>
    <definedName name="__________________________________TEP44">#N/A</definedName>
    <definedName name="__________________________________TPE1132" localSheetId="5">#N/A</definedName>
    <definedName name="__________________________________TPE1132" localSheetId="6">#N/A</definedName>
    <definedName name="__________________________________TPE1132">#N/A</definedName>
    <definedName name="__________________________________TPE12" localSheetId="5">#REF!</definedName>
    <definedName name="__________________________________TPE12" localSheetId="6">#REF!</definedName>
    <definedName name="__________________________________TPE12">#REF!</definedName>
    <definedName name="__________________________________TPE1331" localSheetId="5">#N/A</definedName>
    <definedName name="__________________________________TPE1331" localSheetId="6">#N/A</definedName>
    <definedName name="__________________________________TPE1331">#N/A</definedName>
    <definedName name="__________________________________TPE1702" localSheetId="5">#N/A</definedName>
    <definedName name="__________________________________TPE1702" localSheetId="6">#N/A</definedName>
    <definedName name="__________________________________TPE1702">#N/A</definedName>
    <definedName name="__________________________________TPE1703" localSheetId="5">#N/A</definedName>
    <definedName name="__________________________________TPE1703" localSheetId="6">#N/A</definedName>
    <definedName name="__________________________________TPE1703">#N/A</definedName>
    <definedName name="__________________________________TPE1704" localSheetId="5">#N/A</definedName>
    <definedName name="__________________________________TPE1704" localSheetId="6">#N/A</definedName>
    <definedName name="__________________________________TPE1704">#N/A</definedName>
    <definedName name="__________________________________TPE1706" localSheetId="5">#N/A</definedName>
    <definedName name="__________________________________TPE1706" localSheetId="6">#N/A</definedName>
    <definedName name="__________________________________TPE1706">#N/A</definedName>
    <definedName name="__________________________________TPE1708" localSheetId="5">#N/A</definedName>
    <definedName name="__________________________________TPE1708" localSheetId="6">#N/A</definedName>
    <definedName name="__________________________________TPE1708">#N/A</definedName>
    <definedName name="__________________________________TPE1710" localSheetId="5">#N/A</definedName>
    <definedName name="__________________________________TPE1710" localSheetId="6">#N/A</definedName>
    <definedName name="__________________________________TPE1710">#N/A</definedName>
    <definedName name="__________________________________TPE1735" localSheetId="5">#N/A</definedName>
    <definedName name="__________________________________TPE1735" localSheetId="6">#N/A</definedName>
    <definedName name="__________________________________TPE1735">#N/A</definedName>
    <definedName name="__________________________________TPE1763" localSheetId="5">#N/A</definedName>
    <definedName name="__________________________________TPE1763" localSheetId="6">#N/A</definedName>
    <definedName name="__________________________________TPE1763">#N/A</definedName>
    <definedName name="__________________________________TPE1790" localSheetId="5">#N/A</definedName>
    <definedName name="__________________________________TPE1790" localSheetId="6">#N/A</definedName>
    <definedName name="__________________________________TPE1790">#N/A</definedName>
    <definedName name="__________________________________TPF12" localSheetId="5">[2]BASE!$D$217</definedName>
    <definedName name="__________________________________TPF12" localSheetId="6">[2]BASE!$D$217</definedName>
    <definedName name="__________________________________TPF12">[2]BASE!$D$217</definedName>
    <definedName name="__________________________________TUZ22" localSheetId="5">'[2]BASE ORIGINAL'!#REF!</definedName>
    <definedName name="__________________________________TUZ22" localSheetId="6">'[2]BASE ORIGINAL'!#REF!</definedName>
    <definedName name="__________________________________TUZ22">'[2]BASE ORIGINAL'!#REF!</definedName>
    <definedName name="__________________________________TUZ36" localSheetId="5">'[2]BASE ORIGINAL'!#REF!</definedName>
    <definedName name="__________________________________TUZ36" localSheetId="6">'[2]BASE ORIGINAL'!#REF!</definedName>
    <definedName name="__________________________________TUZ36">'[2]BASE ORIGINAL'!#REF!</definedName>
    <definedName name="__________________________________TZ2110" localSheetId="5">[2]BASE!$D$79</definedName>
    <definedName name="__________________________________TZ2110" localSheetId="6">[2]BASE!$D$79</definedName>
    <definedName name="__________________________________TZ2110">[2]BASE!$D$79</definedName>
    <definedName name="__________________________________TZ214" localSheetId="5">#N/A</definedName>
    <definedName name="__________________________________TZ214" localSheetId="6">#N/A</definedName>
    <definedName name="__________________________________TZ214">#N/A</definedName>
    <definedName name="__________________________________TZ216" localSheetId="5">#N/A</definedName>
    <definedName name="__________________________________TZ216" localSheetId="6">#N/A</definedName>
    <definedName name="__________________________________TZ216">#N/A</definedName>
    <definedName name="__________________________________TZ268">[4]BASE!$D$85</definedName>
    <definedName name="__________________________________TZ323" localSheetId="5">'[2]BASE ORIGINAL'!#REF!</definedName>
    <definedName name="__________________________________TZ323" localSheetId="6">'[2]BASE ORIGINAL'!#REF!</definedName>
    <definedName name="__________________________________TZ323">'[2]BASE ORIGINAL'!#REF!</definedName>
    <definedName name="__________________________________TZ324" localSheetId="5">'[2]BASE ORIGINAL'!#REF!</definedName>
    <definedName name="__________________________________TZ324" localSheetId="6">'[2]BASE ORIGINAL'!#REF!</definedName>
    <definedName name="__________________________________TZ324">'[2]BASE ORIGINAL'!#REF!</definedName>
    <definedName name="__________________________________TZ32510" localSheetId="5">#N/A</definedName>
    <definedName name="__________________________________TZ32510" localSheetId="6">#N/A</definedName>
    <definedName name="__________________________________TZ32510">#N/A</definedName>
    <definedName name="_________________________________ADH12" localSheetId="5">[2]BASE!$D$218</definedName>
    <definedName name="_________________________________ADH12" localSheetId="6">[2]BASE!$D$218</definedName>
    <definedName name="_________________________________ADH12">[2]BASE!$D$218</definedName>
    <definedName name="_________________________________ADM12" localSheetId="5">[2]BASE!$D$219</definedName>
    <definedName name="_________________________________ADM12" localSheetId="6">[2]BASE!$D$219</definedName>
    <definedName name="_________________________________ADM12">[2]BASE!$D$219</definedName>
    <definedName name="_________________________________ADM4" localSheetId="5">[2]BASE!$D$120</definedName>
    <definedName name="_________________________________ADM4" localSheetId="6">[2]BASE!$D$120</definedName>
    <definedName name="_________________________________ADM4">[2]BASE!$D$120</definedName>
    <definedName name="_________________________________AIU1" localSheetId="5">#REF!</definedName>
    <definedName name="_________________________________AIU1" localSheetId="6">#REF!</definedName>
    <definedName name="_________________________________AIU1">#REF!</definedName>
    <definedName name="_________________________________AIU2">[3]BASE!$C$5</definedName>
    <definedName name="_________________________________BAZ10" localSheetId="5">[2]BASE!$D$270</definedName>
    <definedName name="_________________________________BAZ10" localSheetId="6">[2]BASE!$D$270</definedName>
    <definedName name="_________________________________BAZ10">[2]BASE!$D$270</definedName>
    <definedName name="_________________________________BLO20" localSheetId="5">[2]BASE!$D$56</definedName>
    <definedName name="_________________________________BLO20" localSheetId="6">[2]BASE!$D$56</definedName>
    <definedName name="_________________________________BLO20">[2]BASE!$D$56</definedName>
    <definedName name="_________________________________CAN28" localSheetId="5">[2]BASE!$D$315</definedName>
    <definedName name="_________________________________CAN28" localSheetId="6">[2]BASE!$D$315</definedName>
    <definedName name="_________________________________CAN28">[2]BASE!$D$315</definedName>
    <definedName name="_________________________________Cod1" localSheetId="5">#REF!</definedName>
    <definedName name="_________________________________Cod1" localSheetId="6">#REF!</definedName>
    <definedName name="_________________________________Cod1">#REF!</definedName>
    <definedName name="_________________________________CUA44" localSheetId="5">[2]BASE!$D$253</definedName>
    <definedName name="_________________________________CUA44" localSheetId="6">[2]BASE!$D$253</definedName>
    <definedName name="_________________________________CUA44">[2]BASE!$D$253</definedName>
    <definedName name="_________________________________LA124" localSheetId="5">[2]BASE!$D$64</definedName>
    <definedName name="_________________________________LA124" localSheetId="6">[2]BASE!$D$64</definedName>
    <definedName name="_________________________________LA124">[2]BASE!$D$64</definedName>
    <definedName name="_________________________________LAC18">[4]BASE!$D$252</definedName>
    <definedName name="_________________________________Po2">[5]REAJUSTESACTA1PROVI!#REF!</definedName>
    <definedName name="_________________________________R84JH">[4]BASE!$D$172</definedName>
    <definedName name="_________________________________REP43">[6]BASE!$D$136</definedName>
    <definedName name="_________________________________TEP44" localSheetId="5">#N/A</definedName>
    <definedName name="_________________________________TEP44" localSheetId="6">#N/A</definedName>
    <definedName name="_________________________________TEP44">#N/A</definedName>
    <definedName name="_________________________________TPE1132" localSheetId="5">#N/A</definedName>
    <definedName name="_________________________________TPE1132" localSheetId="6">#N/A</definedName>
    <definedName name="_________________________________TPE1132">#N/A</definedName>
    <definedName name="_________________________________TPE12" localSheetId="5">#REF!</definedName>
    <definedName name="_________________________________TPE12" localSheetId="6">#REF!</definedName>
    <definedName name="_________________________________TPE12">#REF!</definedName>
    <definedName name="_________________________________TPE1331" localSheetId="5">#N/A</definedName>
    <definedName name="_________________________________TPE1331" localSheetId="6">#N/A</definedName>
    <definedName name="_________________________________TPE1331">#N/A</definedName>
    <definedName name="_________________________________TPE1702" localSheetId="5">#N/A</definedName>
    <definedName name="_________________________________TPE1702" localSheetId="6">#N/A</definedName>
    <definedName name="_________________________________TPE1702">#N/A</definedName>
    <definedName name="_________________________________TPE1703" localSheetId="5">#N/A</definedName>
    <definedName name="_________________________________TPE1703" localSheetId="6">#N/A</definedName>
    <definedName name="_________________________________TPE1703">#N/A</definedName>
    <definedName name="_________________________________TPE1704" localSheetId="5">#N/A</definedName>
    <definedName name="_________________________________TPE1704" localSheetId="6">#N/A</definedName>
    <definedName name="_________________________________TPE1704">#N/A</definedName>
    <definedName name="_________________________________TPE1706" localSheetId="5">#N/A</definedName>
    <definedName name="_________________________________TPE1706" localSheetId="6">#N/A</definedName>
    <definedName name="_________________________________TPE1706">#N/A</definedName>
    <definedName name="_________________________________TPE1708" localSheetId="5">#N/A</definedName>
    <definedName name="_________________________________TPE1708" localSheetId="6">#N/A</definedName>
    <definedName name="_________________________________TPE1708">#N/A</definedName>
    <definedName name="_________________________________TPE1710" localSheetId="5">#N/A</definedName>
    <definedName name="_________________________________TPE1710" localSheetId="6">#N/A</definedName>
    <definedName name="_________________________________TPE1710">#N/A</definedName>
    <definedName name="_________________________________TPE1735" localSheetId="5">#N/A</definedName>
    <definedName name="_________________________________TPE1735" localSheetId="6">#N/A</definedName>
    <definedName name="_________________________________TPE1735">#N/A</definedName>
    <definedName name="_________________________________TPE1763" localSheetId="5">#N/A</definedName>
    <definedName name="_________________________________TPE1763" localSheetId="6">#N/A</definedName>
    <definedName name="_________________________________TPE1763">#N/A</definedName>
    <definedName name="_________________________________TPE1790" localSheetId="5">#N/A</definedName>
    <definedName name="_________________________________TPE1790" localSheetId="6">#N/A</definedName>
    <definedName name="_________________________________TPE1790">#N/A</definedName>
    <definedName name="_________________________________TPF12" localSheetId="5">[2]BASE!$D$217</definedName>
    <definedName name="_________________________________TPF12" localSheetId="6">[2]BASE!$D$217</definedName>
    <definedName name="_________________________________TPF12">[2]BASE!$D$217</definedName>
    <definedName name="_________________________________TUZ22" localSheetId="5">'[2]BASE ORIGINAL'!#REF!</definedName>
    <definedName name="_________________________________TUZ22" localSheetId="6">'[2]BASE ORIGINAL'!#REF!</definedName>
    <definedName name="_________________________________TUZ22">'[2]BASE ORIGINAL'!#REF!</definedName>
    <definedName name="_________________________________TUZ36" localSheetId="5">'[2]BASE ORIGINAL'!#REF!</definedName>
    <definedName name="_________________________________TUZ36" localSheetId="6">'[2]BASE ORIGINAL'!#REF!</definedName>
    <definedName name="_________________________________TUZ36">'[2]BASE ORIGINAL'!#REF!</definedName>
    <definedName name="_________________________________TZ2110" localSheetId="5">[2]BASE!$D$79</definedName>
    <definedName name="_________________________________TZ2110" localSheetId="6">[2]BASE!$D$79</definedName>
    <definedName name="_________________________________TZ2110">[2]BASE!$D$79</definedName>
    <definedName name="_________________________________TZ214" localSheetId="5">#N/A</definedName>
    <definedName name="_________________________________TZ214" localSheetId="6">#N/A</definedName>
    <definedName name="_________________________________TZ214">#N/A</definedName>
    <definedName name="_________________________________TZ216" localSheetId="5">#N/A</definedName>
    <definedName name="_________________________________TZ216" localSheetId="6">#N/A</definedName>
    <definedName name="_________________________________TZ216">#N/A</definedName>
    <definedName name="_________________________________TZ268">[4]BASE!$D$85</definedName>
    <definedName name="_________________________________TZ323" localSheetId="5">'[2]BASE ORIGINAL'!#REF!</definedName>
    <definedName name="_________________________________TZ323" localSheetId="6">'[2]BASE ORIGINAL'!#REF!</definedName>
    <definedName name="_________________________________TZ323">'[2]BASE ORIGINAL'!#REF!</definedName>
    <definedName name="_________________________________TZ324" localSheetId="5">'[2]BASE ORIGINAL'!#REF!</definedName>
    <definedName name="_________________________________TZ324" localSheetId="6">'[2]BASE ORIGINAL'!#REF!</definedName>
    <definedName name="_________________________________TZ324">'[2]BASE ORIGINAL'!#REF!</definedName>
    <definedName name="_________________________________TZ32510" localSheetId="5">#N/A</definedName>
    <definedName name="_________________________________TZ32510" localSheetId="6">#N/A</definedName>
    <definedName name="_________________________________TZ32510">#N/A</definedName>
    <definedName name="________________________________ADH12" localSheetId="5">[2]BASE!$D$218</definedName>
    <definedName name="________________________________ADH12" localSheetId="6">[2]BASE!$D$218</definedName>
    <definedName name="________________________________ADH12">[2]BASE!$D$218</definedName>
    <definedName name="________________________________ADM12" localSheetId="5">[2]BASE!$D$219</definedName>
    <definedName name="________________________________ADM12" localSheetId="6">[2]BASE!$D$219</definedName>
    <definedName name="________________________________ADM12">[2]BASE!$D$219</definedName>
    <definedName name="________________________________ADM4" localSheetId="5">[2]BASE!$D$120</definedName>
    <definedName name="________________________________ADM4" localSheetId="6">[2]BASE!$D$120</definedName>
    <definedName name="________________________________ADM4">[2]BASE!$D$120</definedName>
    <definedName name="________________________________AIU1" localSheetId="5">#REF!</definedName>
    <definedName name="________________________________AIU1" localSheetId="6">#REF!</definedName>
    <definedName name="________________________________AIU1">#REF!</definedName>
    <definedName name="________________________________AIU2">[3]BASE!$C$5</definedName>
    <definedName name="________________________________BAZ10" localSheetId="5">[2]BASE!$D$270</definedName>
    <definedName name="________________________________BAZ10" localSheetId="6">[2]BASE!$D$270</definedName>
    <definedName name="________________________________BAZ10">[2]BASE!$D$270</definedName>
    <definedName name="________________________________BLO20" localSheetId="5">[2]BASE!$D$56</definedName>
    <definedName name="________________________________BLO20" localSheetId="6">[2]BASE!$D$56</definedName>
    <definedName name="________________________________BLO20">[2]BASE!$D$56</definedName>
    <definedName name="________________________________CAN28" localSheetId="5">[2]BASE!$D$315</definedName>
    <definedName name="________________________________CAN28" localSheetId="6">[2]BASE!$D$315</definedName>
    <definedName name="________________________________CAN28">[2]BASE!$D$315</definedName>
    <definedName name="________________________________Cod1" localSheetId="5">#REF!</definedName>
    <definedName name="________________________________Cod1" localSheetId="6">#REF!</definedName>
    <definedName name="________________________________Cod1">#REF!</definedName>
    <definedName name="________________________________CUA44" localSheetId="5">[2]BASE!$D$253</definedName>
    <definedName name="________________________________CUA44" localSheetId="6">[2]BASE!$D$253</definedName>
    <definedName name="________________________________CUA44">[2]BASE!$D$253</definedName>
    <definedName name="________________________________LA124" localSheetId="5">[2]BASE!$D$64</definedName>
    <definedName name="________________________________LA124" localSheetId="6">[2]BASE!$D$64</definedName>
    <definedName name="________________________________LA124">[2]BASE!$D$64</definedName>
    <definedName name="________________________________LAC18">[4]BASE!$D$252</definedName>
    <definedName name="________________________________Po2">[5]REAJUSTESACTA1PROVI!#REF!</definedName>
    <definedName name="________________________________R84JH">[4]BASE!$D$172</definedName>
    <definedName name="________________________________REP43">[6]BASE!$D$136</definedName>
    <definedName name="________________________________TEP44" localSheetId="5">#N/A</definedName>
    <definedName name="________________________________TEP44" localSheetId="6">#N/A</definedName>
    <definedName name="________________________________TEP44">#N/A</definedName>
    <definedName name="________________________________TPE1132" localSheetId="5">#N/A</definedName>
    <definedName name="________________________________TPE1132" localSheetId="6">#N/A</definedName>
    <definedName name="________________________________TPE1132">#N/A</definedName>
    <definedName name="________________________________TPE12" localSheetId="5">#REF!</definedName>
    <definedName name="________________________________TPE12" localSheetId="6">#REF!</definedName>
    <definedName name="________________________________TPE12">#REF!</definedName>
    <definedName name="________________________________TPE1331" localSheetId="5">#N/A</definedName>
    <definedName name="________________________________TPE1331" localSheetId="6">#N/A</definedName>
    <definedName name="________________________________TPE1331">#N/A</definedName>
    <definedName name="________________________________TPE1702" localSheetId="5">#N/A</definedName>
    <definedName name="________________________________TPE1702" localSheetId="6">#N/A</definedName>
    <definedName name="________________________________TPE1702">#N/A</definedName>
    <definedName name="________________________________TPE1703" localSheetId="5">#N/A</definedName>
    <definedName name="________________________________TPE1703" localSheetId="6">#N/A</definedName>
    <definedName name="________________________________TPE1703">#N/A</definedName>
    <definedName name="________________________________TPE1704" localSheetId="5">#N/A</definedName>
    <definedName name="________________________________TPE1704" localSheetId="6">#N/A</definedName>
    <definedName name="________________________________TPE1704">#N/A</definedName>
    <definedName name="________________________________TPE1706" localSheetId="5">#N/A</definedName>
    <definedName name="________________________________TPE1706" localSheetId="6">#N/A</definedName>
    <definedName name="________________________________TPE1706">#N/A</definedName>
    <definedName name="________________________________TPE1708" localSheetId="5">#N/A</definedName>
    <definedName name="________________________________TPE1708" localSheetId="6">#N/A</definedName>
    <definedName name="________________________________TPE1708">#N/A</definedName>
    <definedName name="________________________________TPE1710" localSheetId="5">#N/A</definedName>
    <definedName name="________________________________TPE1710" localSheetId="6">#N/A</definedName>
    <definedName name="________________________________TPE1710">#N/A</definedName>
    <definedName name="________________________________TPE1735" localSheetId="5">#N/A</definedName>
    <definedName name="________________________________TPE1735" localSheetId="6">#N/A</definedName>
    <definedName name="________________________________TPE1735">#N/A</definedName>
    <definedName name="________________________________TPE1763" localSheetId="5">#N/A</definedName>
    <definedName name="________________________________TPE1763" localSheetId="6">#N/A</definedName>
    <definedName name="________________________________TPE1763">#N/A</definedName>
    <definedName name="________________________________TPE1790" localSheetId="5">#N/A</definedName>
    <definedName name="________________________________TPE1790" localSheetId="6">#N/A</definedName>
    <definedName name="________________________________TPE1790">#N/A</definedName>
    <definedName name="________________________________TPF12" localSheetId="5">[2]BASE!$D$217</definedName>
    <definedName name="________________________________TPF12" localSheetId="6">[2]BASE!$D$217</definedName>
    <definedName name="________________________________TPF12">[2]BASE!$D$217</definedName>
    <definedName name="________________________________TUZ22" localSheetId="5">'[2]BASE ORIGINAL'!#REF!</definedName>
    <definedName name="________________________________TUZ22" localSheetId="6">'[2]BASE ORIGINAL'!#REF!</definedName>
    <definedName name="________________________________TUZ22">'[2]BASE ORIGINAL'!#REF!</definedName>
    <definedName name="________________________________TUZ36" localSheetId="5">'[2]BASE ORIGINAL'!#REF!</definedName>
    <definedName name="________________________________TUZ36" localSheetId="6">'[2]BASE ORIGINAL'!#REF!</definedName>
    <definedName name="________________________________TUZ36">'[2]BASE ORIGINAL'!#REF!</definedName>
    <definedName name="________________________________TZ2110" localSheetId="5">[2]BASE!$D$79</definedName>
    <definedName name="________________________________TZ2110" localSheetId="6">[2]BASE!$D$79</definedName>
    <definedName name="________________________________TZ2110">[2]BASE!$D$79</definedName>
    <definedName name="________________________________TZ214" localSheetId="5">#N/A</definedName>
    <definedName name="________________________________TZ214" localSheetId="6">#N/A</definedName>
    <definedName name="________________________________TZ214">#N/A</definedName>
    <definedName name="________________________________TZ216" localSheetId="5">#N/A</definedName>
    <definedName name="________________________________TZ216" localSheetId="6">#N/A</definedName>
    <definedName name="________________________________TZ216">#N/A</definedName>
    <definedName name="________________________________TZ268">[4]BASE!$D$85</definedName>
    <definedName name="________________________________TZ323" localSheetId="5">'[2]BASE ORIGINAL'!#REF!</definedName>
    <definedName name="________________________________TZ323" localSheetId="6">'[2]BASE ORIGINAL'!#REF!</definedName>
    <definedName name="________________________________TZ323">'[2]BASE ORIGINAL'!#REF!</definedName>
    <definedName name="________________________________TZ324" localSheetId="5">'[2]BASE ORIGINAL'!#REF!</definedName>
    <definedName name="________________________________TZ324" localSheetId="6">'[2]BASE ORIGINAL'!#REF!</definedName>
    <definedName name="________________________________TZ324">'[2]BASE ORIGINAL'!#REF!</definedName>
    <definedName name="________________________________TZ32510" localSheetId="5">#N/A</definedName>
    <definedName name="________________________________TZ32510" localSheetId="6">#N/A</definedName>
    <definedName name="________________________________TZ32510">#N/A</definedName>
    <definedName name="_______________________________ADH12" localSheetId="5">[2]BASE!$D$218</definedName>
    <definedName name="_______________________________ADH12" localSheetId="6">[2]BASE!$D$218</definedName>
    <definedName name="_______________________________ADH12">[2]BASE!$D$218</definedName>
    <definedName name="_______________________________ADM12" localSheetId="5">[2]BASE!$D$219</definedName>
    <definedName name="_______________________________ADM12" localSheetId="6">[2]BASE!$D$219</definedName>
    <definedName name="_______________________________ADM12">[2]BASE!$D$219</definedName>
    <definedName name="_______________________________ADM4" localSheetId="5">[2]BASE!$D$120</definedName>
    <definedName name="_______________________________ADM4" localSheetId="6">[2]BASE!$D$120</definedName>
    <definedName name="_______________________________ADM4">[2]BASE!$D$120</definedName>
    <definedName name="_______________________________AIU1" localSheetId="5">#REF!</definedName>
    <definedName name="_______________________________AIU1" localSheetId="6">#REF!</definedName>
    <definedName name="_______________________________AIU1">#REF!</definedName>
    <definedName name="_______________________________AIU2">[3]BASE!$C$5</definedName>
    <definedName name="_______________________________BAZ10" localSheetId="5">[2]BASE!$D$270</definedName>
    <definedName name="_______________________________BAZ10" localSheetId="6">[2]BASE!$D$270</definedName>
    <definedName name="_______________________________BAZ10">[2]BASE!$D$270</definedName>
    <definedName name="_______________________________BLO20" localSheetId="5">[2]BASE!$D$56</definedName>
    <definedName name="_______________________________BLO20" localSheetId="6">[2]BASE!$D$56</definedName>
    <definedName name="_______________________________BLO20">[2]BASE!$D$56</definedName>
    <definedName name="_______________________________CAN28" localSheetId="5">[2]BASE!$D$315</definedName>
    <definedName name="_______________________________CAN28" localSheetId="6">[2]BASE!$D$315</definedName>
    <definedName name="_______________________________CAN28">[2]BASE!$D$315</definedName>
    <definedName name="_______________________________Cod1" localSheetId="5">#REF!</definedName>
    <definedName name="_______________________________Cod1" localSheetId="6">#REF!</definedName>
    <definedName name="_______________________________Cod1">#REF!</definedName>
    <definedName name="_______________________________CUA44" localSheetId="5">[2]BASE!$D$253</definedName>
    <definedName name="_______________________________CUA44" localSheetId="6">[2]BASE!$D$253</definedName>
    <definedName name="_______________________________CUA44">[2]BASE!$D$253</definedName>
    <definedName name="_______________________________LA124" localSheetId="5">[2]BASE!$D$64</definedName>
    <definedName name="_______________________________LA124" localSheetId="6">[2]BASE!$D$64</definedName>
    <definedName name="_______________________________LA124">[2]BASE!$D$64</definedName>
    <definedName name="_______________________________LAC18">[4]BASE!$D$252</definedName>
    <definedName name="_______________________________Po2">[5]REAJUSTESACTA1PROVI!#REF!</definedName>
    <definedName name="_______________________________R84JH">[4]BASE!$D$172</definedName>
    <definedName name="_______________________________REP43">[6]BASE!$D$136</definedName>
    <definedName name="_______________________________TEP44" localSheetId="5">#N/A</definedName>
    <definedName name="_______________________________TEP44" localSheetId="6">#N/A</definedName>
    <definedName name="_______________________________TEP44">#N/A</definedName>
    <definedName name="_______________________________TPE1132" localSheetId="5">#N/A</definedName>
    <definedName name="_______________________________TPE1132" localSheetId="6">#N/A</definedName>
    <definedName name="_______________________________TPE1132">#N/A</definedName>
    <definedName name="_______________________________TPE12" localSheetId="5">#REF!</definedName>
    <definedName name="_______________________________TPE12" localSheetId="6">#REF!</definedName>
    <definedName name="_______________________________TPE12">#REF!</definedName>
    <definedName name="_______________________________TPE1331" localSheetId="5">#N/A</definedName>
    <definedName name="_______________________________TPE1331" localSheetId="6">#N/A</definedName>
    <definedName name="_______________________________TPE1331">#N/A</definedName>
    <definedName name="_______________________________TPE1702" localSheetId="5">#N/A</definedName>
    <definedName name="_______________________________TPE1702" localSheetId="6">#N/A</definedName>
    <definedName name="_______________________________TPE1702">#N/A</definedName>
    <definedName name="_______________________________TPE1703" localSheetId="5">#N/A</definedName>
    <definedName name="_______________________________TPE1703" localSheetId="6">#N/A</definedName>
    <definedName name="_______________________________TPE1703">#N/A</definedName>
    <definedName name="_______________________________TPE1704" localSheetId="5">#N/A</definedName>
    <definedName name="_______________________________TPE1704" localSheetId="6">#N/A</definedName>
    <definedName name="_______________________________TPE1704">#N/A</definedName>
    <definedName name="_______________________________TPE1706" localSheetId="5">#N/A</definedName>
    <definedName name="_______________________________TPE1706" localSheetId="6">#N/A</definedName>
    <definedName name="_______________________________TPE1706">#N/A</definedName>
    <definedName name="_______________________________TPE1708" localSheetId="5">#N/A</definedName>
    <definedName name="_______________________________TPE1708" localSheetId="6">#N/A</definedName>
    <definedName name="_______________________________TPE1708">#N/A</definedName>
    <definedName name="_______________________________TPE1710" localSheetId="5">#N/A</definedName>
    <definedName name="_______________________________TPE1710" localSheetId="6">#N/A</definedName>
    <definedName name="_______________________________TPE1710">#N/A</definedName>
    <definedName name="_______________________________TPE1735" localSheetId="5">#N/A</definedName>
    <definedName name="_______________________________TPE1735" localSheetId="6">#N/A</definedName>
    <definedName name="_______________________________TPE1735">#N/A</definedName>
    <definedName name="_______________________________TPE1763" localSheetId="5">#N/A</definedName>
    <definedName name="_______________________________TPE1763" localSheetId="6">#N/A</definedName>
    <definedName name="_______________________________TPE1763">#N/A</definedName>
    <definedName name="_______________________________TPE1790" localSheetId="5">#N/A</definedName>
    <definedName name="_______________________________TPE1790" localSheetId="6">#N/A</definedName>
    <definedName name="_______________________________TPE1790">#N/A</definedName>
    <definedName name="_______________________________TPF12" localSheetId="5">[2]BASE!$D$217</definedName>
    <definedName name="_______________________________TPF12" localSheetId="6">[2]BASE!$D$217</definedName>
    <definedName name="_______________________________TPF12">[2]BASE!$D$217</definedName>
    <definedName name="_______________________________TUZ22" localSheetId="5">'[2]BASE ORIGINAL'!#REF!</definedName>
    <definedName name="_______________________________TUZ22" localSheetId="6">'[2]BASE ORIGINAL'!#REF!</definedName>
    <definedName name="_______________________________TUZ22">'[2]BASE ORIGINAL'!#REF!</definedName>
    <definedName name="_______________________________TUZ36" localSheetId="5">'[2]BASE ORIGINAL'!#REF!</definedName>
    <definedName name="_______________________________TUZ36" localSheetId="6">'[2]BASE ORIGINAL'!#REF!</definedName>
    <definedName name="_______________________________TUZ36">'[2]BASE ORIGINAL'!#REF!</definedName>
    <definedName name="_______________________________TZ2110" localSheetId="5">[2]BASE!$D$79</definedName>
    <definedName name="_______________________________TZ2110" localSheetId="6">[2]BASE!$D$79</definedName>
    <definedName name="_______________________________TZ2110">[2]BASE!$D$79</definedName>
    <definedName name="_______________________________TZ214" localSheetId="5">#N/A</definedName>
    <definedName name="_______________________________TZ214" localSheetId="6">#N/A</definedName>
    <definedName name="_______________________________TZ214">#N/A</definedName>
    <definedName name="_______________________________TZ216" localSheetId="5">#N/A</definedName>
    <definedName name="_______________________________TZ216" localSheetId="6">#N/A</definedName>
    <definedName name="_______________________________TZ216">#N/A</definedName>
    <definedName name="_______________________________TZ268">[4]BASE!$D$85</definedName>
    <definedName name="_______________________________TZ323" localSheetId="5">'[2]BASE ORIGINAL'!#REF!</definedName>
    <definedName name="_______________________________TZ323" localSheetId="6">'[2]BASE ORIGINAL'!#REF!</definedName>
    <definedName name="_______________________________TZ323">'[2]BASE ORIGINAL'!#REF!</definedName>
    <definedName name="_______________________________TZ324" localSheetId="5">'[2]BASE ORIGINAL'!#REF!</definedName>
    <definedName name="_______________________________TZ324" localSheetId="6">'[2]BASE ORIGINAL'!#REF!</definedName>
    <definedName name="_______________________________TZ324">'[2]BASE ORIGINAL'!#REF!</definedName>
    <definedName name="_______________________________TZ32510" localSheetId="5">#N/A</definedName>
    <definedName name="_______________________________TZ32510" localSheetId="6">#N/A</definedName>
    <definedName name="_______________________________TZ32510">#N/A</definedName>
    <definedName name="______________________________ADH12" localSheetId="5">[2]BASE!$D$218</definedName>
    <definedName name="______________________________ADH12" localSheetId="6">[2]BASE!$D$218</definedName>
    <definedName name="______________________________ADH12">[2]BASE!$D$218</definedName>
    <definedName name="______________________________ADM12" localSheetId="5">[2]BASE!$D$219</definedName>
    <definedName name="______________________________ADM12" localSheetId="6">[2]BASE!$D$219</definedName>
    <definedName name="______________________________ADM12">[2]BASE!$D$219</definedName>
    <definedName name="______________________________ADM4" localSheetId="5">[2]BASE!$D$120</definedName>
    <definedName name="______________________________ADM4" localSheetId="6">[2]BASE!$D$120</definedName>
    <definedName name="______________________________ADM4">[2]BASE!$D$120</definedName>
    <definedName name="______________________________AIU1" localSheetId="5">#REF!</definedName>
    <definedName name="______________________________AIU1" localSheetId="6">#REF!</definedName>
    <definedName name="______________________________AIU1">#REF!</definedName>
    <definedName name="______________________________AIU2">[3]BASE!$C$5</definedName>
    <definedName name="______________________________BAZ10" localSheetId="5">[2]BASE!$D$270</definedName>
    <definedName name="______________________________BAZ10" localSheetId="6">[2]BASE!$D$270</definedName>
    <definedName name="______________________________BAZ10">[2]BASE!$D$270</definedName>
    <definedName name="______________________________BLO20" localSheetId="5">[2]BASE!$D$56</definedName>
    <definedName name="______________________________BLO20" localSheetId="6">[2]BASE!$D$56</definedName>
    <definedName name="______________________________BLO20">[2]BASE!$D$56</definedName>
    <definedName name="______________________________CAN28" localSheetId="5">[2]BASE!$D$315</definedName>
    <definedName name="______________________________CAN28" localSheetId="6">[2]BASE!$D$315</definedName>
    <definedName name="______________________________CAN28">[2]BASE!$D$315</definedName>
    <definedName name="______________________________Cod1" localSheetId="5">#REF!</definedName>
    <definedName name="______________________________Cod1" localSheetId="6">#REF!</definedName>
    <definedName name="______________________________Cod1">#REF!</definedName>
    <definedName name="______________________________CUA44" localSheetId="5">[2]BASE!$D$253</definedName>
    <definedName name="______________________________CUA44" localSheetId="6">[2]BASE!$D$253</definedName>
    <definedName name="______________________________CUA44">[2]BASE!$D$253</definedName>
    <definedName name="______________________________LA124" localSheetId="5">[2]BASE!$D$64</definedName>
    <definedName name="______________________________LA124" localSheetId="6">[2]BASE!$D$64</definedName>
    <definedName name="______________________________LA124">[2]BASE!$D$64</definedName>
    <definedName name="______________________________LAC18">[4]BASE!$D$252</definedName>
    <definedName name="______________________________Po2">[5]REAJUSTESACTA1PROVI!#REF!</definedName>
    <definedName name="______________________________R84JH">[4]BASE!$D$172</definedName>
    <definedName name="______________________________REP43">[6]BASE!$D$136</definedName>
    <definedName name="______________________________TEP44" localSheetId="5">#N/A</definedName>
    <definedName name="______________________________TEP44" localSheetId="6">#N/A</definedName>
    <definedName name="______________________________TEP44">#N/A</definedName>
    <definedName name="______________________________TPE1132" localSheetId="5">#N/A</definedName>
    <definedName name="______________________________TPE1132" localSheetId="6">#N/A</definedName>
    <definedName name="______________________________TPE1132">#N/A</definedName>
    <definedName name="______________________________TPE12" localSheetId="5">#REF!</definedName>
    <definedName name="______________________________TPE12" localSheetId="6">#REF!</definedName>
    <definedName name="______________________________TPE12">#REF!</definedName>
    <definedName name="______________________________TPE1331" localSheetId="5">#N/A</definedName>
    <definedName name="______________________________TPE1331" localSheetId="6">#N/A</definedName>
    <definedName name="______________________________TPE1331">#N/A</definedName>
    <definedName name="______________________________TPE1702" localSheetId="5">#N/A</definedName>
    <definedName name="______________________________TPE1702" localSheetId="6">#N/A</definedName>
    <definedName name="______________________________TPE1702">#N/A</definedName>
    <definedName name="______________________________TPE1703" localSheetId="5">#N/A</definedName>
    <definedName name="______________________________TPE1703" localSheetId="6">#N/A</definedName>
    <definedName name="______________________________TPE1703">#N/A</definedName>
    <definedName name="______________________________TPE1704" localSheetId="5">#N/A</definedName>
    <definedName name="______________________________TPE1704" localSheetId="6">#N/A</definedName>
    <definedName name="______________________________TPE1704">#N/A</definedName>
    <definedName name="______________________________TPE1706" localSheetId="5">#N/A</definedName>
    <definedName name="______________________________TPE1706" localSheetId="6">#N/A</definedName>
    <definedName name="______________________________TPE1706">#N/A</definedName>
    <definedName name="______________________________TPE1708" localSheetId="5">#N/A</definedName>
    <definedName name="______________________________TPE1708" localSheetId="6">#N/A</definedName>
    <definedName name="______________________________TPE1708">#N/A</definedName>
    <definedName name="______________________________TPE1710" localSheetId="5">#N/A</definedName>
    <definedName name="______________________________TPE1710" localSheetId="6">#N/A</definedName>
    <definedName name="______________________________TPE1710">#N/A</definedName>
    <definedName name="______________________________TPE1735" localSheetId="5">#N/A</definedName>
    <definedName name="______________________________TPE1735" localSheetId="6">#N/A</definedName>
    <definedName name="______________________________TPE1735">#N/A</definedName>
    <definedName name="______________________________TPE1763" localSheetId="5">#N/A</definedName>
    <definedName name="______________________________TPE1763" localSheetId="6">#N/A</definedName>
    <definedName name="______________________________TPE1763">#N/A</definedName>
    <definedName name="______________________________TPE1790" localSheetId="5">#N/A</definedName>
    <definedName name="______________________________TPE1790" localSheetId="6">#N/A</definedName>
    <definedName name="______________________________TPE1790">#N/A</definedName>
    <definedName name="______________________________TPF12" localSheetId="5">[2]BASE!$D$217</definedName>
    <definedName name="______________________________TPF12" localSheetId="6">[2]BASE!$D$217</definedName>
    <definedName name="______________________________TPF12">[2]BASE!$D$217</definedName>
    <definedName name="______________________________TUZ22" localSheetId="5">'[2]BASE ORIGINAL'!#REF!</definedName>
    <definedName name="______________________________TUZ22" localSheetId="6">'[2]BASE ORIGINAL'!#REF!</definedName>
    <definedName name="______________________________TUZ22">'[2]BASE ORIGINAL'!#REF!</definedName>
    <definedName name="______________________________TUZ36" localSheetId="5">'[2]BASE ORIGINAL'!#REF!</definedName>
    <definedName name="______________________________TUZ36" localSheetId="6">'[2]BASE ORIGINAL'!#REF!</definedName>
    <definedName name="______________________________TUZ36">'[2]BASE ORIGINAL'!#REF!</definedName>
    <definedName name="______________________________TZ2110" localSheetId="5">[2]BASE!$D$79</definedName>
    <definedName name="______________________________TZ2110" localSheetId="6">[2]BASE!$D$79</definedName>
    <definedName name="______________________________TZ2110">[2]BASE!$D$79</definedName>
    <definedName name="______________________________TZ214" localSheetId="5">#N/A</definedName>
    <definedName name="______________________________TZ214" localSheetId="6">#N/A</definedName>
    <definedName name="______________________________TZ214">#N/A</definedName>
    <definedName name="______________________________TZ216" localSheetId="5">#N/A</definedName>
    <definedName name="______________________________TZ216" localSheetId="6">#N/A</definedName>
    <definedName name="______________________________TZ216">#N/A</definedName>
    <definedName name="______________________________TZ268">[4]BASE!$D$85</definedName>
    <definedName name="______________________________TZ323" localSheetId="5">'[2]BASE ORIGINAL'!#REF!</definedName>
    <definedName name="______________________________TZ323" localSheetId="6">'[2]BASE ORIGINAL'!#REF!</definedName>
    <definedName name="______________________________TZ323">'[2]BASE ORIGINAL'!#REF!</definedName>
    <definedName name="______________________________TZ324" localSheetId="5">'[2]BASE ORIGINAL'!#REF!</definedName>
    <definedName name="______________________________TZ324" localSheetId="6">'[2]BASE ORIGINAL'!#REF!</definedName>
    <definedName name="______________________________TZ324">'[2]BASE ORIGINAL'!#REF!</definedName>
    <definedName name="______________________________TZ32510" localSheetId="5">#N/A</definedName>
    <definedName name="______________________________TZ32510" localSheetId="6">#N/A</definedName>
    <definedName name="______________________________TZ32510">#N/A</definedName>
    <definedName name="_____________________________ADH12" localSheetId="5">[2]BASE!$D$218</definedName>
    <definedName name="_____________________________ADH12" localSheetId="6">[2]BASE!$D$218</definedName>
    <definedName name="_____________________________ADH12">[2]BASE!$D$218</definedName>
    <definedName name="_____________________________ADM12" localSheetId="5">[2]BASE!$D$219</definedName>
    <definedName name="_____________________________ADM12" localSheetId="6">[2]BASE!$D$219</definedName>
    <definedName name="_____________________________ADM12">[2]BASE!$D$219</definedName>
    <definedName name="_____________________________ADM4" localSheetId="5">[2]BASE!$D$120</definedName>
    <definedName name="_____________________________ADM4" localSheetId="6">[2]BASE!$D$120</definedName>
    <definedName name="_____________________________ADM4">[2]BASE!$D$120</definedName>
    <definedName name="_____________________________AIU1" localSheetId="5">#REF!</definedName>
    <definedName name="_____________________________AIU1" localSheetId="6">#REF!</definedName>
    <definedName name="_____________________________AIU1">#REF!</definedName>
    <definedName name="_____________________________AIU2">[3]BASE!$C$5</definedName>
    <definedName name="_____________________________BAZ10" localSheetId="5">[2]BASE!$D$270</definedName>
    <definedName name="_____________________________BAZ10" localSheetId="6">[2]BASE!$D$270</definedName>
    <definedName name="_____________________________BAZ10">[2]BASE!$D$270</definedName>
    <definedName name="_____________________________BLO20" localSheetId="5">[2]BASE!$D$56</definedName>
    <definedName name="_____________________________BLO20" localSheetId="6">[2]BASE!$D$56</definedName>
    <definedName name="_____________________________BLO20">[2]BASE!$D$56</definedName>
    <definedName name="_____________________________CAN28" localSheetId="5">[2]BASE!$D$315</definedName>
    <definedName name="_____________________________CAN28" localSheetId="6">[2]BASE!$D$315</definedName>
    <definedName name="_____________________________CAN28">[2]BASE!$D$315</definedName>
    <definedName name="_____________________________Cod1" localSheetId="5">#REF!</definedName>
    <definedName name="_____________________________Cod1" localSheetId="6">#REF!</definedName>
    <definedName name="_____________________________Cod1">#REF!</definedName>
    <definedName name="_____________________________CUA44" localSheetId="5">[2]BASE!$D$253</definedName>
    <definedName name="_____________________________CUA44" localSheetId="6">[2]BASE!$D$253</definedName>
    <definedName name="_____________________________CUA44">[2]BASE!$D$253</definedName>
    <definedName name="_____________________________LA124" localSheetId="5">[2]BASE!$D$64</definedName>
    <definedName name="_____________________________LA124" localSheetId="6">[2]BASE!$D$64</definedName>
    <definedName name="_____________________________LA124">[2]BASE!$D$64</definedName>
    <definedName name="_____________________________LAC18">[4]BASE!$D$252</definedName>
    <definedName name="_____________________________Po2">[5]REAJUSTESACTA1PROVI!#REF!</definedName>
    <definedName name="_____________________________R84JH">[4]BASE!$D$172</definedName>
    <definedName name="_____________________________REP43">[6]BASE!$D$136</definedName>
    <definedName name="_____________________________TEP44" localSheetId="5">#N/A</definedName>
    <definedName name="_____________________________TEP44" localSheetId="6">#N/A</definedName>
    <definedName name="_____________________________TEP44">#N/A</definedName>
    <definedName name="_____________________________TPE1132" localSheetId="5">#N/A</definedName>
    <definedName name="_____________________________TPE1132" localSheetId="6">#N/A</definedName>
    <definedName name="_____________________________TPE1132">#N/A</definedName>
    <definedName name="_____________________________TPE12" localSheetId="5">#REF!</definedName>
    <definedName name="_____________________________TPE12" localSheetId="6">#REF!</definedName>
    <definedName name="_____________________________TPE12">#REF!</definedName>
    <definedName name="_____________________________TPE1331" localSheetId="5">#N/A</definedName>
    <definedName name="_____________________________TPE1331" localSheetId="6">#N/A</definedName>
    <definedName name="_____________________________TPE1331">#N/A</definedName>
    <definedName name="_____________________________TPE1702" localSheetId="5">#N/A</definedName>
    <definedName name="_____________________________TPE1702" localSheetId="6">#N/A</definedName>
    <definedName name="_____________________________TPE1702">#N/A</definedName>
    <definedName name="_____________________________TPE1703" localSheetId="5">#N/A</definedName>
    <definedName name="_____________________________TPE1703" localSheetId="6">#N/A</definedName>
    <definedName name="_____________________________TPE1703">#N/A</definedName>
    <definedName name="_____________________________TPE1704" localSheetId="5">#N/A</definedName>
    <definedName name="_____________________________TPE1704" localSheetId="6">#N/A</definedName>
    <definedName name="_____________________________TPE1704">#N/A</definedName>
    <definedName name="_____________________________TPE1706" localSheetId="5">#N/A</definedName>
    <definedName name="_____________________________TPE1706" localSheetId="6">#N/A</definedName>
    <definedName name="_____________________________TPE1706">#N/A</definedName>
    <definedName name="_____________________________TPE1708" localSheetId="5">#N/A</definedName>
    <definedName name="_____________________________TPE1708" localSheetId="6">#N/A</definedName>
    <definedName name="_____________________________TPE1708">#N/A</definedName>
    <definedName name="_____________________________TPE1710" localSheetId="5">#N/A</definedName>
    <definedName name="_____________________________TPE1710" localSheetId="6">#N/A</definedName>
    <definedName name="_____________________________TPE1710">#N/A</definedName>
    <definedName name="_____________________________TPE1735" localSheetId="5">#N/A</definedName>
    <definedName name="_____________________________TPE1735" localSheetId="6">#N/A</definedName>
    <definedName name="_____________________________TPE1735">#N/A</definedName>
    <definedName name="_____________________________TPE1763" localSheetId="5">#N/A</definedName>
    <definedName name="_____________________________TPE1763" localSheetId="6">#N/A</definedName>
    <definedName name="_____________________________TPE1763">#N/A</definedName>
    <definedName name="_____________________________TPE1790" localSheetId="5">#N/A</definedName>
    <definedName name="_____________________________TPE1790" localSheetId="6">#N/A</definedName>
    <definedName name="_____________________________TPE1790">#N/A</definedName>
    <definedName name="_____________________________TPF12" localSheetId="5">[2]BASE!$D$217</definedName>
    <definedName name="_____________________________TPF12" localSheetId="6">[2]BASE!$D$217</definedName>
    <definedName name="_____________________________TPF12">[2]BASE!$D$217</definedName>
    <definedName name="_____________________________TUZ22" localSheetId="5">'[2]BASE ORIGINAL'!#REF!</definedName>
    <definedName name="_____________________________TUZ22" localSheetId="6">'[2]BASE ORIGINAL'!#REF!</definedName>
    <definedName name="_____________________________TUZ22">'[2]BASE ORIGINAL'!#REF!</definedName>
    <definedName name="_____________________________TUZ36" localSheetId="5">'[2]BASE ORIGINAL'!#REF!</definedName>
    <definedName name="_____________________________TUZ36" localSheetId="6">'[2]BASE ORIGINAL'!#REF!</definedName>
    <definedName name="_____________________________TUZ36">'[2]BASE ORIGINAL'!#REF!</definedName>
    <definedName name="_____________________________TZ2110" localSheetId="5">[2]BASE!$D$79</definedName>
    <definedName name="_____________________________TZ2110" localSheetId="6">[2]BASE!$D$79</definedName>
    <definedName name="_____________________________TZ2110">[2]BASE!$D$79</definedName>
    <definedName name="_____________________________TZ214" localSheetId="5">#N/A</definedName>
    <definedName name="_____________________________TZ214" localSheetId="6">#N/A</definedName>
    <definedName name="_____________________________TZ214">#N/A</definedName>
    <definedName name="_____________________________TZ216" localSheetId="5">#N/A</definedName>
    <definedName name="_____________________________TZ216" localSheetId="6">#N/A</definedName>
    <definedName name="_____________________________TZ216">#N/A</definedName>
    <definedName name="_____________________________TZ268">[4]BASE!$D$85</definedName>
    <definedName name="_____________________________TZ323" localSheetId="5">'[2]BASE ORIGINAL'!#REF!</definedName>
    <definedName name="_____________________________TZ323" localSheetId="6">'[2]BASE ORIGINAL'!#REF!</definedName>
    <definedName name="_____________________________TZ323">'[2]BASE ORIGINAL'!#REF!</definedName>
    <definedName name="_____________________________TZ324" localSheetId="5">'[2]BASE ORIGINAL'!#REF!</definedName>
    <definedName name="_____________________________TZ324" localSheetId="6">'[2]BASE ORIGINAL'!#REF!</definedName>
    <definedName name="_____________________________TZ324">'[2]BASE ORIGINAL'!#REF!</definedName>
    <definedName name="_____________________________TZ32510" localSheetId="5">#N/A</definedName>
    <definedName name="_____________________________TZ32510" localSheetId="6">#N/A</definedName>
    <definedName name="_____________________________TZ32510">#N/A</definedName>
    <definedName name="____________________________ADH12" localSheetId="5">[2]BASE!$D$218</definedName>
    <definedName name="____________________________ADH12" localSheetId="6">[2]BASE!$D$218</definedName>
    <definedName name="____________________________ADH12">[2]BASE!$D$218</definedName>
    <definedName name="____________________________ADM12" localSheetId="5">[2]BASE!$D$219</definedName>
    <definedName name="____________________________ADM12" localSheetId="6">[2]BASE!$D$219</definedName>
    <definedName name="____________________________ADM12">[2]BASE!$D$219</definedName>
    <definedName name="____________________________ADM4" localSheetId="5">[2]BASE!$D$120</definedName>
    <definedName name="____________________________ADM4" localSheetId="6">[2]BASE!$D$120</definedName>
    <definedName name="____________________________ADM4">[2]BASE!$D$120</definedName>
    <definedName name="____________________________AIU1" localSheetId="5">#REF!</definedName>
    <definedName name="____________________________AIU1" localSheetId="6">#REF!</definedName>
    <definedName name="____________________________AIU1">#REF!</definedName>
    <definedName name="____________________________AIU2">[3]BASE!$C$5</definedName>
    <definedName name="____________________________BAZ10" localSheetId="5">[2]BASE!$D$270</definedName>
    <definedName name="____________________________BAZ10" localSheetId="6">[2]BASE!$D$270</definedName>
    <definedName name="____________________________BAZ10">[2]BASE!$D$270</definedName>
    <definedName name="____________________________BLO20" localSheetId="5">[2]BASE!$D$56</definedName>
    <definedName name="____________________________BLO20" localSheetId="6">[2]BASE!$D$56</definedName>
    <definedName name="____________________________BLO20">[2]BASE!$D$56</definedName>
    <definedName name="____________________________CAN28" localSheetId="5">[2]BASE!$D$315</definedName>
    <definedName name="____________________________CAN28" localSheetId="6">[2]BASE!$D$315</definedName>
    <definedName name="____________________________CAN28">[2]BASE!$D$315</definedName>
    <definedName name="____________________________Cod1" localSheetId="5">#REF!</definedName>
    <definedName name="____________________________Cod1" localSheetId="6">#REF!</definedName>
    <definedName name="____________________________Cod1">#REF!</definedName>
    <definedName name="____________________________CUA44" localSheetId="5">[2]BASE!$D$253</definedName>
    <definedName name="____________________________CUA44" localSheetId="6">[2]BASE!$D$253</definedName>
    <definedName name="____________________________CUA44">[2]BASE!$D$253</definedName>
    <definedName name="____________________________LA124" localSheetId="5">[2]BASE!$D$64</definedName>
    <definedName name="____________________________LA124" localSheetId="6">[2]BASE!$D$64</definedName>
    <definedName name="____________________________LA124">[2]BASE!$D$64</definedName>
    <definedName name="____________________________LAC18">[4]BASE!$D$252</definedName>
    <definedName name="____________________________Po2">[5]REAJUSTESACTA1PROVI!#REF!</definedName>
    <definedName name="____________________________R84JH">[4]BASE!$D$172</definedName>
    <definedName name="____________________________REP43">[6]BASE!$D$136</definedName>
    <definedName name="____________________________TEP44" localSheetId="5">#N/A</definedName>
    <definedName name="____________________________TEP44" localSheetId="6">#N/A</definedName>
    <definedName name="____________________________TEP44">#N/A</definedName>
    <definedName name="____________________________TPE1132" localSheetId="5">#N/A</definedName>
    <definedName name="____________________________TPE1132" localSheetId="6">#N/A</definedName>
    <definedName name="____________________________TPE1132">#N/A</definedName>
    <definedName name="____________________________TPE12" localSheetId="5">#REF!</definedName>
    <definedName name="____________________________TPE12" localSheetId="6">#REF!</definedName>
    <definedName name="____________________________TPE12">#REF!</definedName>
    <definedName name="____________________________TPE1331" localSheetId="5">#N/A</definedName>
    <definedName name="____________________________TPE1331" localSheetId="6">#N/A</definedName>
    <definedName name="____________________________TPE1331">#N/A</definedName>
    <definedName name="____________________________TPE1702" localSheetId="5">#N/A</definedName>
    <definedName name="____________________________TPE1702" localSheetId="6">#N/A</definedName>
    <definedName name="____________________________TPE1702">#N/A</definedName>
    <definedName name="____________________________TPE1703" localSheetId="5">#N/A</definedName>
    <definedName name="____________________________TPE1703" localSheetId="6">#N/A</definedName>
    <definedName name="____________________________TPE1703">#N/A</definedName>
    <definedName name="____________________________TPE1704" localSheetId="5">#N/A</definedName>
    <definedName name="____________________________TPE1704" localSheetId="6">#N/A</definedName>
    <definedName name="____________________________TPE1704">#N/A</definedName>
    <definedName name="____________________________TPE1706" localSheetId="5">#N/A</definedName>
    <definedName name="____________________________TPE1706" localSheetId="6">#N/A</definedName>
    <definedName name="____________________________TPE1706">#N/A</definedName>
    <definedName name="____________________________TPE1708" localSheetId="5">#N/A</definedName>
    <definedName name="____________________________TPE1708" localSheetId="6">#N/A</definedName>
    <definedName name="____________________________TPE1708">#N/A</definedName>
    <definedName name="____________________________TPE1710" localSheetId="5">#N/A</definedName>
    <definedName name="____________________________TPE1710" localSheetId="6">#N/A</definedName>
    <definedName name="____________________________TPE1710">#N/A</definedName>
    <definedName name="____________________________TPE1735" localSheetId="5">#N/A</definedName>
    <definedName name="____________________________TPE1735" localSheetId="6">#N/A</definedName>
    <definedName name="____________________________TPE1735">#N/A</definedName>
    <definedName name="____________________________TPE1763" localSheetId="5">#N/A</definedName>
    <definedName name="____________________________TPE1763" localSheetId="6">#N/A</definedName>
    <definedName name="____________________________TPE1763">#N/A</definedName>
    <definedName name="____________________________TPE1790" localSheetId="5">#N/A</definedName>
    <definedName name="____________________________TPE1790" localSheetId="6">#N/A</definedName>
    <definedName name="____________________________TPE1790">#N/A</definedName>
    <definedName name="____________________________TPF12" localSheetId="5">[2]BASE!$D$217</definedName>
    <definedName name="____________________________TPF12" localSheetId="6">[2]BASE!$D$217</definedName>
    <definedName name="____________________________TPF12">[2]BASE!$D$217</definedName>
    <definedName name="____________________________TUZ22" localSheetId="5">'[2]BASE ORIGINAL'!#REF!</definedName>
    <definedName name="____________________________TUZ22" localSheetId="6">'[2]BASE ORIGINAL'!#REF!</definedName>
    <definedName name="____________________________TUZ22">'[2]BASE ORIGINAL'!#REF!</definedName>
    <definedName name="____________________________TUZ36" localSheetId="5">'[2]BASE ORIGINAL'!#REF!</definedName>
    <definedName name="____________________________TUZ36" localSheetId="6">'[2]BASE ORIGINAL'!#REF!</definedName>
    <definedName name="____________________________TUZ36">'[2]BASE ORIGINAL'!#REF!</definedName>
    <definedName name="____________________________TZ2110" localSheetId="5">[2]BASE!$D$79</definedName>
    <definedName name="____________________________TZ2110" localSheetId="6">[2]BASE!$D$79</definedName>
    <definedName name="____________________________TZ2110">[2]BASE!$D$79</definedName>
    <definedName name="____________________________TZ214" localSheetId="5">#N/A</definedName>
    <definedName name="____________________________TZ214" localSheetId="6">#N/A</definedName>
    <definedName name="____________________________TZ214">#N/A</definedName>
    <definedName name="____________________________TZ216" localSheetId="5">#N/A</definedName>
    <definedName name="____________________________TZ216" localSheetId="6">#N/A</definedName>
    <definedName name="____________________________TZ216">#N/A</definedName>
    <definedName name="____________________________TZ268">[4]BASE!$D$85</definedName>
    <definedName name="____________________________TZ323" localSheetId="5">'[2]BASE ORIGINAL'!#REF!</definedName>
    <definedName name="____________________________TZ323" localSheetId="6">'[2]BASE ORIGINAL'!#REF!</definedName>
    <definedName name="____________________________TZ323">'[2]BASE ORIGINAL'!#REF!</definedName>
    <definedName name="____________________________TZ324" localSheetId="5">'[2]BASE ORIGINAL'!#REF!</definedName>
    <definedName name="____________________________TZ324" localSheetId="6">'[2]BASE ORIGINAL'!#REF!</definedName>
    <definedName name="____________________________TZ324">'[2]BASE ORIGINAL'!#REF!</definedName>
    <definedName name="____________________________TZ32510" localSheetId="5">#N/A</definedName>
    <definedName name="____________________________TZ32510" localSheetId="6">#N/A</definedName>
    <definedName name="____________________________TZ32510">#N/A</definedName>
    <definedName name="___________________________ADH12" localSheetId="5">[2]BASE!$D$218</definedName>
    <definedName name="___________________________ADH12" localSheetId="6">[2]BASE!$D$218</definedName>
    <definedName name="___________________________ADH12">[2]BASE!$D$218</definedName>
    <definedName name="___________________________ADM12" localSheetId="5">[2]BASE!$D$219</definedName>
    <definedName name="___________________________ADM12" localSheetId="6">[2]BASE!$D$219</definedName>
    <definedName name="___________________________ADM12">[2]BASE!$D$219</definedName>
    <definedName name="___________________________ADM4" localSheetId="5">[2]BASE!$D$120</definedName>
    <definedName name="___________________________ADM4" localSheetId="6">[2]BASE!$D$120</definedName>
    <definedName name="___________________________ADM4">[2]BASE!$D$120</definedName>
    <definedName name="___________________________AIU1" localSheetId="5">#REF!</definedName>
    <definedName name="___________________________AIU1" localSheetId="6">#REF!</definedName>
    <definedName name="___________________________AIU1">#REF!</definedName>
    <definedName name="___________________________AIU2">[3]BASE!$C$5</definedName>
    <definedName name="___________________________BAZ10" localSheetId="5">[2]BASE!$D$270</definedName>
    <definedName name="___________________________BAZ10" localSheetId="6">[2]BASE!$D$270</definedName>
    <definedName name="___________________________BAZ10">[2]BASE!$D$270</definedName>
    <definedName name="___________________________BLO20" localSheetId="5">[2]BASE!$D$56</definedName>
    <definedName name="___________________________BLO20" localSheetId="6">[2]BASE!$D$56</definedName>
    <definedName name="___________________________BLO20">[2]BASE!$D$56</definedName>
    <definedName name="___________________________CAN28" localSheetId="5">[2]BASE!$D$315</definedName>
    <definedName name="___________________________CAN28" localSheetId="6">[2]BASE!$D$315</definedName>
    <definedName name="___________________________CAN28">[2]BASE!$D$315</definedName>
    <definedName name="___________________________Cod1" localSheetId="5">#REF!</definedName>
    <definedName name="___________________________Cod1" localSheetId="6">#REF!</definedName>
    <definedName name="___________________________Cod1">#REF!</definedName>
    <definedName name="___________________________CUA44" localSheetId="5">[2]BASE!$D$253</definedName>
    <definedName name="___________________________CUA44" localSheetId="6">[2]BASE!$D$253</definedName>
    <definedName name="___________________________CUA44">[2]BASE!$D$253</definedName>
    <definedName name="___________________________LA124" localSheetId="5">[2]BASE!$D$64</definedName>
    <definedName name="___________________________LA124" localSheetId="6">[2]BASE!$D$64</definedName>
    <definedName name="___________________________LA124">[2]BASE!$D$64</definedName>
    <definedName name="___________________________LAC18">[4]BASE!$D$252</definedName>
    <definedName name="___________________________Po2">[5]REAJUSTESACTA1PROVI!#REF!</definedName>
    <definedName name="___________________________R84JH">[4]BASE!$D$172</definedName>
    <definedName name="___________________________REP43">[6]BASE!$D$136</definedName>
    <definedName name="___________________________TEP44" localSheetId="5">#N/A</definedName>
    <definedName name="___________________________TEP44" localSheetId="6">#N/A</definedName>
    <definedName name="___________________________TEP44">#N/A</definedName>
    <definedName name="___________________________TPE1132" localSheetId="5">#N/A</definedName>
    <definedName name="___________________________TPE1132" localSheetId="6">#N/A</definedName>
    <definedName name="___________________________TPE1132">#N/A</definedName>
    <definedName name="___________________________TPE12" localSheetId="5">#REF!</definedName>
    <definedName name="___________________________TPE12" localSheetId="6">#REF!</definedName>
    <definedName name="___________________________TPE12">#REF!</definedName>
    <definedName name="___________________________TPE1331" localSheetId="5">#N/A</definedName>
    <definedName name="___________________________TPE1331" localSheetId="6">#N/A</definedName>
    <definedName name="___________________________TPE1331">#N/A</definedName>
    <definedName name="___________________________TPE1702" localSheetId="5">#N/A</definedName>
    <definedName name="___________________________TPE1702" localSheetId="6">#N/A</definedName>
    <definedName name="___________________________TPE1702">#N/A</definedName>
    <definedName name="___________________________TPE1703" localSheetId="5">#N/A</definedName>
    <definedName name="___________________________TPE1703" localSheetId="6">#N/A</definedName>
    <definedName name="___________________________TPE1703">#N/A</definedName>
    <definedName name="___________________________TPE1704" localSheetId="5">#N/A</definedName>
    <definedName name="___________________________TPE1704" localSheetId="6">#N/A</definedName>
    <definedName name="___________________________TPE1704">#N/A</definedName>
    <definedName name="___________________________TPE1706" localSheetId="5">#N/A</definedName>
    <definedName name="___________________________TPE1706" localSheetId="6">#N/A</definedName>
    <definedName name="___________________________TPE1706">#N/A</definedName>
    <definedName name="___________________________TPE1708" localSheetId="5">#N/A</definedName>
    <definedName name="___________________________TPE1708" localSheetId="6">#N/A</definedName>
    <definedName name="___________________________TPE1708">#N/A</definedName>
    <definedName name="___________________________TPE1710" localSheetId="5">#N/A</definedName>
    <definedName name="___________________________TPE1710" localSheetId="6">#N/A</definedName>
    <definedName name="___________________________TPE1710">#N/A</definedName>
    <definedName name="___________________________TPE1735" localSheetId="5">#N/A</definedName>
    <definedName name="___________________________TPE1735" localSheetId="6">#N/A</definedName>
    <definedName name="___________________________TPE1735">#N/A</definedName>
    <definedName name="___________________________TPE1763" localSheetId="5">#N/A</definedName>
    <definedName name="___________________________TPE1763" localSheetId="6">#N/A</definedName>
    <definedName name="___________________________TPE1763">#N/A</definedName>
    <definedName name="___________________________TPE1790" localSheetId="5">#N/A</definedName>
    <definedName name="___________________________TPE1790" localSheetId="6">#N/A</definedName>
    <definedName name="___________________________TPE1790">#N/A</definedName>
    <definedName name="___________________________TPF12" localSheetId="5">[2]BASE!$D$217</definedName>
    <definedName name="___________________________TPF12" localSheetId="6">[2]BASE!$D$217</definedName>
    <definedName name="___________________________TPF12">[2]BASE!$D$217</definedName>
    <definedName name="___________________________TUZ22" localSheetId="5">'[2]BASE ORIGINAL'!#REF!</definedName>
    <definedName name="___________________________TUZ22" localSheetId="6">'[2]BASE ORIGINAL'!#REF!</definedName>
    <definedName name="___________________________TUZ22">'[2]BASE ORIGINAL'!#REF!</definedName>
    <definedName name="___________________________TUZ36" localSheetId="5">'[2]BASE ORIGINAL'!#REF!</definedName>
    <definedName name="___________________________TUZ36" localSheetId="6">'[2]BASE ORIGINAL'!#REF!</definedName>
    <definedName name="___________________________TUZ36">'[2]BASE ORIGINAL'!#REF!</definedName>
    <definedName name="___________________________TZ2110" localSheetId="5">[2]BASE!$D$79</definedName>
    <definedName name="___________________________TZ2110" localSheetId="6">[2]BASE!$D$79</definedName>
    <definedName name="___________________________TZ2110">[2]BASE!$D$79</definedName>
    <definedName name="___________________________TZ214" localSheetId="5">#N/A</definedName>
    <definedName name="___________________________TZ214" localSheetId="6">#N/A</definedName>
    <definedName name="___________________________TZ214">#N/A</definedName>
    <definedName name="___________________________TZ216" localSheetId="5">#N/A</definedName>
    <definedName name="___________________________TZ216" localSheetId="6">#N/A</definedName>
    <definedName name="___________________________TZ216">#N/A</definedName>
    <definedName name="___________________________TZ268">[4]BASE!$D$85</definedName>
    <definedName name="___________________________TZ323" localSheetId="5">'[2]BASE ORIGINAL'!#REF!</definedName>
    <definedName name="___________________________TZ323" localSheetId="6">'[2]BASE ORIGINAL'!#REF!</definedName>
    <definedName name="___________________________TZ323">'[2]BASE ORIGINAL'!#REF!</definedName>
    <definedName name="___________________________TZ324" localSheetId="5">'[2]BASE ORIGINAL'!#REF!</definedName>
    <definedName name="___________________________TZ324" localSheetId="6">'[2]BASE ORIGINAL'!#REF!</definedName>
    <definedName name="___________________________TZ324">'[2]BASE ORIGINAL'!#REF!</definedName>
    <definedName name="___________________________TZ32510" localSheetId="5">#N/A</definedName>
    <definedName name="___________________________TZ32510" localSheetId="6">#N/A</definedName>
    <definedName name="___________________________TZ32510">#N/A</definedName>
    <definedName name="__________________________ADH12" localSheetId="5">[2]BASE!$D$218</definedName>
    <definedName name="__________________________ADH12" localSheetId="6">[2]BASE!$D$218</definedName>
    <definedName name="__________________________ADH12">[2]BASE!$D$218</definedName>
    <definedName name="__________________________ADM12" localSheetId="5">[2]BASE!$D$219</definedName>
    <definedName name="__________________________ADM12" localSheetId="6">[2]BASE!$D$219</definedName>
    <definedName name="__________________________ADM12">[2]BASE!$D$219</definedName>
    <definedName name="__________________________ADM4" localSheetId="5">[2]BASE!$D$120</definedName>
    <definedName name="__________________________ADM4" localSheetId="6">[2]BASE!$D$120</definedName>
    <definedName name="__________________________ADM4">[2]BASE!$D$120</definedName>
    <definedName name="__________________________AIU1" localSheetId="5">#REF!</definedName>
    <definedName name="__________________________AIU1" localSheetId="6">#REF!</definedName>
    <definedName name="__________________________AIU1">#REF!</definedName>
    <definedName name="__________________________AIU2">[3]BASE!$C$5</definedName>
    <definedName name="__________________________BAZ10" localSheetId="5">[2]BASE!$D$270</definedName>
    <definedName name="__________________________BAZ10" localSheetId="6">[2]BASE!$D$270</definedName>
    <definedName name="__________________________BAZ10">[2]BASE!$D$270</definedName>
    <definedName name="__________________________BLO20" localSheetId="5">[2]BASE!$D$56</definedName>
    <definedName name="__________________________BLO20" localSheetId="6">[2]BASE!$D$56</definedName>
    <definedName name="__________________________BLO20">[2]BASE!$D$56</definedName>
    <definedName name="__________________________CAN28" localSheetId="5">[2]BASE!$D$315</definedName>
    <definedName name="__________________________CAN28" localSheetId="6">[2]BASE!$D$315</definedName>
    <definedName name="__________________________CAN28">[2]BASE!$D$315</definedName>
    <definedName name="__________________________Cod1" localSheetId="5">#REF!</definedName>
    <definedName name="__________________________Cod1" localSheetId="6">#REF!</definedName>
    <definedName name="__________________________Cod1">#REF!</definedName>
    <definedName name="__________________________CUA44" localSheetId="5">[2]BASE!$D$253</definedName>
    <definedName name="__________________________CUA44" localSheetId="6">[2]BASE!$D$253</definedName>
    <definedName name="__________________________CUA44">[2]BASE!$D$253</definedName>
    <definedName name="__________________________LA124" localSheetId="5">[2]BASE!$D$64</definedName>
    <definedName name="__________________________LA124" localSheetId="6">[2]BASE!$D$64</definedName>
    <definedName name="__________________________LA124">[2]BASE!$D$64</definedName>
    <definedName name="__________________________LAC18">[4]BASE!$D$252</definedName>
    <definedName name="__________________________Po2">[5]REAJUSTESACTA1PROVI!#REF!</definedName>
    <definedName name="__________________________R84JH">[4]BASE!$D$172</definedName>
    <definedName name="__________________________REP43">[6]BASE!$D$136</definedName>
    <definedName name="__________________________TEP44" localSheetId="5">#N/A</definedName>
    <definedName name="__________________________TEP44" localSheetId="6">#N/A</definedName>
    <definedName name="__________________________TEP44">#N/A</definedName>
    <definedName name="__________________________TPE1132" localSheetId="5">#N/A</definedName>
    <definedName name="__________________________TPE1132" localSheetId="6">#N/A</definedName>
    <definedName name="__________________________TPE1132">#N/A</definedName>
    <definedName name="__________________________TPE12" localSheetId="5">#REF!</definedName>
    <definedName name="__________________________TPE12" localSheetId="6">#REF!</definedName>
    <definedName name="__________________________TPE12">#REF!</definedName>
    <definedName name="__________________________TPE1331" localSheetId="5">#N/A</definedName>
    <definedName name="__________________________TPE1331" localSheetId="6">#N/A</definedName>
    <definedName name="__________________________TPE1331">#N/A</definedName>
    <definedName name="__________________________TPE1702" localSheetId="5">#N/A</definedName>
    <definedName name="__________________________TPE1702" localSheetId="6">#N/A</definedName>
    <definedName name="__________________________TPE1702">#N/A</definedName>
    <definedName name="__________________________TPE1703" localSheetId="5">#N/A</definedName>
    <definedName name="__________________________TPE1703" localSheetId="6">#N/A</definedName>
    <definedName name="__________________________TPE1703">#N/A</definedName>
    <definedName name="__________________________TPE1704" localSheetId="5">#N/A</definedName>
    <definedName name="__________________________TPE1704" localSheetId="6">#N/A</definedName>
    <definedName name="__________________________TPE1704">#N/A</definedName>
    <definedName name="__________________________TPE1706" localSheetId="5">#N/A</definedName>
    <definedName name="__________________________TPE1706" localSheetId="6">#N/A</definedName>
    <definedName name="__________________________TPE1706">#N/A</definedName>
    <definedName name="__________________________TPE1708" localSheetId="5">#N/A</definedName>
    <definedName name="__________________________TPE1708" localSheetId="6">#N/A</definedName>
    <definedName name="__________________________TPE1708">#N/A</definedName>
    <definedName name="__________________________TPE1710" localSheetId="5">#N/A</definedName>
    <definedName name="__________________________TPE1710" localSheetId="6">#N/A</definedName>
    <definedName name="__________________________TPE1710">#N/A</definedName>
    <definedName name="__________________________TPE1735" localSheetId="5">#N/A</definedName>
    <definedName name="__________________________TPE1735" localSheetId="6">#N/A</definedName>
    <definedName name="__________________________TPE1735">#N/A</definedName>
    <definedName name="__________________________TPE1763" localSheetId="5">#N/A</definedName>
    <definedName name="__________________________TPE1763" localSheetId="6">#N/A</definedName>
    <definedName name="__________________________TPE1763">#N/A</definedName>
    <definedName name="__________________________TPE1790" localSheetId="5">#N/A</definedName>
    <definedName name="__________________________TPE1790" localSheetId="6">#N/A</definedName>
    <definedName name="__________________________TPE1790">#N/A</definedName>
    <definedName name="__________________________TPF12" localSheetId="5">[2]BASE!$D$217</definedName>
    <definedName name="__________________________TPF12" localSheetId="6">[2]BASE!$D$217</definedName>
    <definedName name="__________________________TPF12">[2]BASE!$D$217</definedName>
    <definedName name="__________________________TUZ22" localSheetId="5">'[2]BASE ORIGINAL'!#REF!</definedName>
    <definedName name="__________________________TUZ22" localSheetId="6">'[2]BASE ORIGINAL'!#REF!</definedName>
    <definedName name="__________________________TUZ22">'[2]BASE ORIGINAL'!#REF!</definedName>
    <definedName name="__________________________TUZ36" localSheetId="5">'[2]BASE ORIGINAL'!#REF!</definedName>
    <definedName name="__________________________TUZ36" localSheetId="6">'[2]BASE ORIGINAL'!#REF!</definedName>
    <definedName name="__________________________TUZ36">'[2]BASE ORIGINAL'!#REF!</definedName>
    <definedName name="__________________________TZ2110" localSheetId="5">[2]BASE!$D$79</definedName>
    <definedName name="__________________________TZ2110" localSheetId="6">[2]BASE!$D$79</definedName>
    <definedName name="__________________________TZ2110">[2]BASE!$D$79</definedName>
    <definedName name="__________________________TZ214" localSheetId="5">#N/A</definedName>
    <definedName name="__________________________TZ214" localSheetId="6">#N/A</definedName>
    <definedName name="__________________________TZ214">#N/A</definedName>
    <definedName name="__________________________TZ216" localSheetId="5">#N/A</definedName>
    <definedName name="__________________________TZ216" localSheetId="6">#N/A</definedName>
    <definedName name="__________________________TZ216">#N/A</definedName>
    <definedName name="__________________________TZ268">[4]BASE!$D$85</definedName>
    <definedName name="__________________________TZ323" localSheetId="5">'[2]BASE ORIGINAL'!#REF!</definedName>
    <definedName name="__________________________TZ323" localSheetId="6">'[2]BASE ORIGINAL'!#REF!</definedName>
    <definedName name="__________________________TZ323">'[2]BASE ORIGINAL'!#REF!</definedName>
    <definedName name="__________________________TZ324" localSheetId="5">'[2]BASE ORIGINAL'!#REF!</definedName>
    <definedName name="__________________________TZ324" localSheetId="6">'[2]BASE ORIGINAL'!#REF!</definedName>
    <definedName name="__________________________TZ324">'[2]BASE ORIGINAL'!#REF!</definedName>
    <definedName name="__________________________TZ32510" localSheetId="5">#N/A</definedName>
    <definedName name="__________________________TZ32510" localSheetId="6">#N/A</definedName>
    <definedName name="__________________________TZ32510">#N/A</definedName>
    <definedName name="_________________________ADH12" localSheetId="5">[2]BASE!$D$218</definedName>
    <definedName name="_________________________ADH12" localSheetId="6">[2]BASE!$D$218</definedName>
    <definedName name="_________________________ADH12">[2]BASE!$D$218</definedName>
    <definedName name="_________________________ADM12" localSheetId="5">[2]BASE!$D$219</definedName>
    <definedName name="_________________________ADM12" localSheetId="6">[2]BASE!$D$219</definedName>
    <definedName name="_________________________ADM12">[2]BASE!$D$219</definedName>
    <definedName name="_________________________ADM4" localSheetId="5">[2]BASE!$D$120</definedName>
    <definedName name="_________________________ADM4" localSheetId="6">[2]BASE!$D$120</definedName>
    <definedName name="_________________________ADM4">[2]BASE!$D$120</definedName>
    <definedName name="_________________________AIU1" localSheetId="5">#REF!</definedName>
    <definedName name="_________________________AIU1" localSheetId="6">#REF!</definedName>
    <definedName name="_________________________AIU1">#REF!</definedName>
    <definedName name="_________________________AIU2">[3]BASE!$C$5</definedName>
    <definedName name="_________________________BAZ10" localSheetId="5">[2]BASE!$D$270</definedName>
    <definedName name="_________________________BAZ10" localSheetId="6">[2]BASE!$D$270</definedName>
    <definedName name="_________________________BAZ10">[2]BASE!$D$270</definedName>
    <definedName name="_________________________BLO20" localSheetId="5">[2]BASE!$D$56</definedName>
    <definedName name="_________________________BLO20" localSheetId="6">[2]BASE!$D$56</definedName>
    <definedName name="_________________________BLO20">[2]BASE!$D$56</definedName>
    <definedName name="_________________________CAN28" localSheetId="5">[2]BASE!$D$315</definedName>
    <definedName name="_________________________CAN28" localSheetId="6">[2]BASE!$D$315</definedName>
    <definedName name="_________________________CAN28">[2]BASE!$D$315</definedName>
    <definedName name="_________________________Cod1" localSheetId="5">#REF!</definedName>
    <definedName name="_________________________Cod1" localSheetId="6">#REF!</definedName>
    <definedName name="_________________________Cod1">#REF!</definedName>
    <definedName name="_________________________CUA44" localSheetId="5">[2]BASE!$D$253</definedName>
    <definedName name="_________________________CUA44" localSheetId="6">[2]BASE!$D$253</definedName>
    <definedName name="_________________________CUA44">[2]BASE!$D$253</definedName>
    <definedName name="_________________________LA124" localSheetId="5">[2]BASE!$D$64</definedName>
    <definedName name="_________________________LA124" localSheetId="6">[2]BASE!$D$64</definedName>
    <definedName name="_________________________LA124">[2]BASE!$D$64</definedName>
    <definedName name="_________________________LAC18">[4]BASE!$D$252</definedName>
    <definedName name="_________________________Po2">[5]REAJUSTESACTA1PROVI!#REF!</definedName>
    <definedName name="_________________________R84JH">[4]BASE!$D$172</definedName>
    <definedName name="_________________________REP43">[6]BASE!$D$136</definedName>
    <definedName name="_________________________TEP44" localSheetId="5">#N/A</definedName>
    <definedName name="_________________________TEP44" localSheetId="6">#N/A</definedName>
    <definedName name="_________________________TEP44">#N/A</definedName>
    <definedName name="_________________________TPE1132" localSheetId="5">#N/A</definedName>
    <definedName name="_________________________TPE1132" localSheetId="6">#N/A</definedName>
    <definedName name="_________________________TPE1132">#N/A</definedName>
    <definedName name="_________________________TPE12" localSheetId="5">#REF!</definedName>
    <definedName name="_________________________TPE12" localSheetId="6">#REF!</definedName>
    <definedName name="_________________________TPE12">#REF!</definedName>
    <definedName name="_________________________TPE1331" localSheetId="5">#N/A</definedName>
    <definedName name="_________________________TPE1331" localSheetId="6">#N/A</definedName>
    <definedName name="_________________________TPE1331">#N/A</definedName>
    <definedName name="_________________________TPE1702" localSheetId="5">#N/A</definedName>
    <definedName name="_________________________TPE1702" localSheetId="6">#N/A</definedName>
    <definedName name="_________________________TPE1702">#N/A</definedName>
    <definedName name="_________________________TPE1703" localSheetId="5">#N/A</definedName>
    <definedName name="_________________________TPE1703" localSheetId="6">#N/A</definedName>
    <definedName name="_________________________TPE1703">#N/A</definedName>
    <definedName name="_________________________TPE1704" localSheetId="5">#N/A</definedName>
    <definedName name="_________________________TPE1704" localSheetId="6">#N/A</definedName>
    <definedName name="_________________________TPE1704">#N/A</definedName>
    <definedName name="_________________________TPE1706" localSheetId="5">#N/A</definedName>
    <definedName name="_________________________TPE1706" localSheetId="6">#N/A</definedName>
    <definedName name="_________________________TPE1706">#N/A</definedName>
    <definedName name="_________________________TPE1708" localSheetId="5">#N/A</definedName>
    <definedName name="_________________________TPE1708" localSheetId="6">#N/A</definedName>
    <definedName name="_________________________TPE1708">#N/A</definedName>
    <definedName name="_________________________TPE1710" localSheetId="5">#N/A</definedName>
    <definedName name="_________________________TPE1710" localSheetId="6">#N/A</definedName>
    <definedName name="_________________________TPE1710">#N/A</definedName>
    <definedName name="_________________________TPE1735" localSheetId="5">#N/A</definedName>
    <definedName name="_________________________TPE1735" localSheetId="6">#N/A</definedName>
    <definedName name="_________________________TPE1735">#N/A</definedName>
    <definedName name="_________________________TPE1763" localSheetId="5">#N/A</definedName>
    <definedName name="_________________________TPE1763" localSheetId="6">#N/A</definedName>
    <definedName name="_________________________TPE1763">#N/A</definedName>
    <definedName name="_________________________TPE1790" localSheetId="5">#N/A</definedName>
    <definedName name="_________________________TPE1790" localSheetId="6">#N/A</definedName>
    <definedName name="_________________________TPE1790">#N/A</definedName>
    <definedName name="_________________________TPF12" localSheetId="5">[2]BASE!$D$217</definedName>
    <definedName name="_________________________TPF12" localSheetId="6">[2]BASE!$D$217</definedName>
    <definedName name="_________________________TPF12">[2]BASE!$D$217</definedName>
    <definedName name="_________________________TUZ22" localSheetId="5">'[2]BASE ORIGINAL'!#REF!</definedName>
    <definedName name="_________________________TUZ22" localSheetId="6">'[2]BASE ORIGINAL'!#REF!</definedName>
    <definedName name="_________________________TUZ22">'[2]BASE ORIGINAL'!#REF!</definedName>
    <definedName name="_________________________TUZ36" localSheetId="5">'[2]BASE ORIGINAL'!#REF!</definedName>
    <definedName name="_________________________TUZ36" localSheetId="6">'[2]BASE ORIGINAL'!#REF!</definedName>
    <definedName name="_________________________TUZ36">'[2]BASE ORIGINAL'!#REF!</definedName>
    <definedName name="_________________________TZ2110" localSheetId="5">[2]BASE!$D$79</definedName>
    <definedName name="_________________________TZ2110" localSheetId="6">[2]BASE!$D$79</definedName>
    <definedName name="_________________________TZ2110">[2]BASE!$D$79</definedName>
    <definedName name="_________________________TZ214" localSheetId="5">#N/A</definedName>
    <definedName name="_________________________TZ214" localSheetId="6">#N/A</definedName>
    <definedName name="_________________________TZ214">#N/A</definedName>
    <definedName name="_________________________TZ216" localSheetId="5">#N/A</definedName>
    <definedName name="_________________________TZ216" localSheetId="6">#N/A</definedName>
    <definedName name="_________________________TZ216">#N/A</definedName>
    <definedName name="_________________________TZ268">[4]BASE!$D$85</definedName>
    <definedName name="_________________________TZ323" localSheetId="5">'[2]BASE ORIGINAL'!#REF!</definedName>
    <definedName name="_________________________TZ323" localSheetId="6">'[2]BASE ORIGINAL'!#REF!</definedName>
    <definedName name="_________________________TZ323">'[2]BASE ORIGINAL'!#REF!</definedName>
    <definedName name="_________________________TZ324" localSheetId="5">'[2]BASE ORIGINAL'!#REF!</definedName>
    <definedName name="_________________________TZ324" localSheetId="6">'[2]BASE ORIGINAL'!#REF!</definedName>
    <definedName name="_________________________TZ324">'[2]BASE ORIGINAL'!#REF!</definedName>
    <definedName name="_________________________TZ32510" localSheetId="5">#N/A</definedName>
    <definedName name="_________________________TZ32510" localSheetId="6">#N/A</definedName>
    <definedName name="_________________________TZ32510">#N/A</definedName>
    <definedName name="________________________ADH12" localSheetId="5">[2]BASE!$D$218</definedName>
    <definedName name="________________________ADH12" localSheetId="6">[2]BASE!$D$218</definedName>
    <definedName name="________________________ADH12">[2]BASE!$D$218</definedName>
    <definedName name="________________________ADM12" localSheetId="5">[2]BASE!$D$219</definedName>
    <definedName name="________________________ADM12" localSheetId="6">[2]BASE!$D$219</definedName>
    <definedName name="________________________ADM12">[2]BASE!$D$219</definedName>
    <definedName name="________________________ADM4" localSheetId="5">[2]BASE!$D$120</definedName>
    <definedName name="________________________ADM4" localSheetId="6">[2]BASE!$D$120</definedName>
    <definedName name="________________________ADM4">[2]BASE!$D$120</definedName>
    <definedName name="________________________AIU1" localSheetId="5">#REF!</definedName>
    <definedName name="________________________AIU1" localSheetId="6">#REF!</definedName>
    <definedName name="________________________AIU1">#REF!</definedName>
    <definedName name="________________________AIU2">[3]BASE!$C$5</definedName>
    <definedName name="________________________BAZ10" localSheetId="5">[2]BASE!$D$270</definedName>
    <definedName name="________________________BAZ10" localSheetId="6">[2]BASE!$D$270</definedName>
    <definedName name="________________________BAZ10">[2]BASE!$D$270</definedName>
    <definedName name="________________________BLO20" localSheetId="5">[2]BASE!$D$56</definedName>
    <definedName name="________________________BLO20" localSheetId="6">[2]BASE!$D$56</definedName>
    <definedName name="________________________BLO20">[2]BASE!$D$56</definedName>
    <definedName name="________________________CAN28" localSheetId="5">[2]BASE!$D$315</definedName>
    <definedName name="________________________CAN28" localSheetId="6">[2]BASE!$D$315</definedName>
    <definedName name="________________________CAN28">[2]BASE!$D$315</definedName>
    <definedName name="________________________Cod1" localSheetId="5">#REF!</definedName>
    <definedName name="________________________Cod1" localSheetId="6">#REF!</definedName>
    <definedName name="________________________Cod1">#REF!</definedName>
    <definedName name="________________________CUA44" localSheetId="5">[2]BASE!$D$253</definedName>
    <definedName name="________________________CUA44" localSheetId="6">[2]BASE!$D$253</definedName>
    <definedName name="________________________CUA44">[2]BASE!$D$253</definedName>
    <definedName name="________________________LA124" localSheetId="5">[2]BASE!$D$64</definedName>
    <definedName name="________________________LA124" localSheetId="6">[2]BASE!$D$64</definedName>
    <definedName name="________________________LA124">[2]BASE!$D$64</definedName>
    <definedName name="________________________LAC18">[4]BASE!$D$252</definedName>
    <definedName name="________________________Po2">[5]REAJUSTESACTA1PROVI!#REF!</definedName>
    <definedName name="________________________R84JH">[4]BASE!$D$172</definedName>
    <definedName name="________________________REP43">[6]BASE!$D$136</definedName>
    <definedName name="________________________TEP44" localSheetId="5">#N/A</definedName>
    <definedName name="________________________TEP44" localSheetId="6">#N/A</definedName>
    <definedName name="________________________TEP44">#N/A</definedName>
    <definedName name="________________________TPE1132" localSheetId="5">#N/A</definedName>
    <definedName name="________________________TPE1132" localSheetId="6">#N/A</definedName>
    <definedName name="________________________TPE1132">#N/A</definedName>
    <definedName name="________________________TPE12" localSheetId="5">#REF!</definedName>
    <definedName name="________________________TPE12" localSheetId="6">#REF!</definedName>
    <definedName name="________________________TPE12">#REF!</definedName>
    <definedName name="________________________TPE1331" localSheetId="5">#N/A</definedName>
    <definedName name="________________________TPE1331" localSheetId="6">#N/A</definedName>
    <definedName name="________________________TPE1331">#N/A</definedName>
    <definedName name="________________________TPE1702" localSheetId="5">#N/A</definedName>
    <definedName name="________________________TPE1702" localSheetId="6">#N/A</definedName>
    <definedName name="________________________TPE1702">#N/A</definedName>
    <definedName name="________________________TPE1703" localSheetId="5">#N/A</definedName>
    <definedName name="________________________TPE1703" localSheetId="6">#N/A</definedName>
    <definedName name="________________________TPE1703">#N/A</definedName>
    <definedName name="________________________TPE1704" localSheetId="5">#N/A</definedName>
    <definedName name="________________________TPE1704" localSheetId="6">#N/A</definedName>
    <definedName name="________________________TPE1704">#N/A</definedName>
    <definedName name="________________________TPE1706" localSheetId="5">#N/A</definedName>
    <definedName name="________________________TPE1706" localSheetId="6">#N/A</definedName>
    <definedName name="________________________TPE1706">#N/A</definedName>
    <definedName name="________________________TPE1708" localSheetId="5">#N/A</definedName>
    <definedName name="________________________TPE1708" localSheetId="6">#N/A</definedName>
    <definedName name="________________________TPE1708">#N/A</definedName>
    <definedName name="________________________TPE1710" localSheetId="5">#N/A</definedName>
    <definedName name="________________________TPE1710" localSheetId="6">#N/A</definedName>
    <definedName name="________________________TPE1710">#N/A</definedName>
    <definedName name="________________________TPE1735" localSheetId="5">#N/A</definedName>
    <definedName name="________________________TPE1735" localSheetId="6">#N/A</definedName>
    <definedName name="________________________TPE1735">#N/A</definedName>
    <definedName name="________________________TPE1763" localSheetId="5">#N/A</definedName>
    <definedName name="________________________TPE1763" localSheetId="6">#N/A</definedName>
    <definedName name="________________________TPE1763">#N/A</definedName>
    <definedName name="________________________TPE1790" localSheetId="5">#N/A</definedName>
    <definedName name="________________________TPE1790" localSheetId="6">#N/A</definedName>
    <definedName name="________________________TPE1790">#N/A</definedName>
    <definedName name="________________________TPF12" localSheetId="5">[2]BASE!$D$217</definedName>
    <definedName name="________________________TPF12" localSheetId="6">[2]BASE!$D$217</definedName>
    <definedName name="________________________TPF12">[2]BASE!$D$217</definedName>
    <definedName name="________________________TUZ22" localSheetId="5">'[2]BASE ORIGINAL'!#REF!</definedName>
    <definedName name="________________________TUZ22" localSheetId="6">'[2]BASE ORIGINAL'!#REF!</definedName>
    <definedName name="________________________TUZ22">'[2]BASE ORIGINAL'!#REF!</definedName>
    <definedName name="________________________TUZ36" localSheetId="5">'[2]BASE ORIGINAL'!#REF!</definedName>
    <definedName name="________________________TUZ36" localSheetId="6">'[2]BASE ORIGINAL'!#REF!</definedName>
    <definedName name="________________________TUZ36">'[2]BASE ORIGINAL'!#REF!</definedName>
    <definedName name="________________________TZ2110" localSheetId="5">[2]BASE!$D$79</definedName>
    <definedName name="________________________TZ2110" localSheetId="6">[2]BASE!$D$79</definedName>
    <definedName name="________________________TZ2110">[2]BASE!$D$79</definedName>
    <definedName name="________________________TZ214" localSheetId="5">#N/A</definedName>
    <definedName name="________________________TZ214" localSheetId="6">#N/A</definedName>
    <definedName name="________________________TZ214">#N/A</definedName>
    <definedName name="________________________TZ216" localSheetId="5">#N/A</definedName>
    <definedName name="________________________TZ216" localSheetId="6">#N/A</definedName>
    <definedName name="________________________TZ216">#N/A</definedName>
    <definedName name="________________________TZ268">[4]BASE!$D$85</definedName>
    <definedName name="________________________TZ323" localSheetId="5">'[2]BASE ORIGINAL'!#REF!</definedName>
    <definedName name="________________________TZ323" localSheetId="6">'[2]BASE ORIGINAL'!#REF!</definedName>
    <definedName name="________________________TZ323">'[2]BASE ORIGINAL'!#REF!</definedName>
    <definedName name="________________________TZ324" localSheetId="5">'[2]BASE ORIGINAL'!#REF!</definedName>
    <definedName name="________________________TZ324" localSheetId="6">'[2]BASE ORIGINAL'!#REF!</definedName>
    <definedName name="________________________TZ324">'[2]BASE ORIGINAL'!#REF!</definedName>
    <definedName name="________________________TZ32510" localSheetId="5">#N/A</definedName>
    <definedName name="________________________TZ32510" localSheetId="6">#N/A</definedName>
    <definedName name="________________________TZ32510">#N/A</definedName>
    <definedName name="_______________________ADH12" localSheetId="5">[2]BASE!$D$218</definedName>
    <definedName name="_______________________ADH12" localSheetId="6">[2]BASE!$D$218</definedName>
    <definedName name="_______________________ADH12">[2]BASE!$D$218</definedName>
    <definedName name="_______________________ADM12" localSheetId="5">[2]BASE!$D$219</definedName>
    <definedName name="_______________________ADM12" localSheetId="6">[2]BASE!$D$219</definedName>
    <definedName name="_______________________ADM12">[2]BASE!$D$219</definedName>
    <definedName name="_______________________ADM4" localSheetId="5">[2]BASE!$D$120</definedName>
    <definedName name="_______________________ADM4" localSheetId="6">[2]BASE!$D$120</definedName>
    <definedName name="_______________________ADM4">[2]BASE!$D$120</definedName>
    <definedName name="_______________________AIU1" localSheetId="5">#REF!</definedName>
    <definedName name="_______________________AIU1" localSheetId="6">#REF!</definedName>
    <definedName name="_______________________AIU1">#REF!</definedName>
    <definedName name="_______________________AIU2">[3]BASE!$C$5</definedName>
    <definedName name="_______________________BAZ10" localSheetId="5">[2]BASE!$D$270</definedName>
    <definedName name="_______________________BAZ10" localSheetId="6">[2]BASE!$D$270</definedName>
    <definedName name="_______________________BAZ10">[2]BASE!$D$270</definedName>
    <definedName name="_______________________BLO20" localSheetId="5">[2]BASE!$D$56</definedName>
    <definedName name="_______________________BLO20" localSheetId="6">[2]BASE!$D$56</definedName>
    <definedName name="_______________________BLO20">[2]BASE!$D$56</definedName>
    <definedName name="_______________________CAN28" localSheetId="5">[2]BASE!$D$315</definedName>
    <definedName name="_______________________CAN28" localSheetId="6">[2]BASE!$D$315</definedName>
    <definedName name="_______________________CAN28">[2]BASE!$D$315</definedName>
    <definedName name="_______________________Cod1" localSheetId="5">#REF!</definedName>
    <definedName name="_______________________Cod1" localSheetId="6">#REF!</definedName>
    <definedName name="_______________________Cod1">#REF!</definedName>
    <definedName name="_______________________CUA44" localSheetId="5">[2]BASE!$D$253</definedName>
    <definedName name="_______________________CUA44" localSheetId="6">[2]BASE!$D$253</definedName>
    <definedName name="_______________________CUA44">[2]BASE!$D$253</definedName>
    <definedName name="_______________________LA124" localSheetId="5">[2]BASE!$D$64</definedName>
    <definedName name="_______________________LA124" localSheetId="6">[2]BASE!$D$64</definedName>
    <definedName name="_______________________LA124">[2]BASE!$D$64</definedName>
    <definedName name="_______________________LAC18">[4]BASE!$D$252</definedName>
    <definedName name="_______________________Po2">[5]REAJUSTESACTA1PROVI!#REF!</definedName>
    <definedName name="_______________________R84JH">[4]BASE!$D$172</definedName>
    <definedName name="_______________________REP43">[6]BASE!$D$136</definedName>
    <definedName name="_______________________TEP44" localSheetId="5">#N/A</definedName>
    <definedName name="_______________________TEP44" localSheetId="6">#N/A</definedName>
    <definedName name="_______________________TEP44">#N/A</definedName>
    <definedName name="_______________________TPE1132" localSheetId="5">#N/A</definedName>
    <definedName name="_______________________TPE1132" localSheetId="6">#N/A</definedName>
    <definedName name="_______________________TPE1132">#N/A</definedName>
    <definedName name="_______________________TPE12" localSheetId="5">#REF!</definedName>
    <definedName name="_______________________TPE12" localSheetId="6">#REF!</definedName>
    <definedName name="_______________________TPE12">#REF!</definedName>
    <definedName name="_______________________TPE1331" localSheetId="5">#N/A</definedName>
    <definedName name="_______________________TPE1331" localSheetId="6">#N/A</definedName>
    <definedName name="_______________________TPE1331">#N/A</definedName>
    <definedName name="_______________________TPE1702" localSheetId="5">#N/A</definedName>
    <definedName name="_______________________TPE1702" localSheetId="6">#N/A</definedName>
    <definedName name="_______________________TPE1702">#N/A</definedName>
    <definedName name="_______________________TPE1703" localSheetId="5">#N/A</definedName>
    <definedName name="_______________________TPE1703" localSheetId="6">#N/A</definedName>
    <definedName name="_______________________TPE1703">#N/A</definedName>
    <definedName name="_______________________TPE1704" localSheetId="5">#N/A</definedName>
    <definedName name="_______________________TPE1704" localSheetId="6">#N/A</definedName>
    <definedName name="_______________________TPE1704">#N/A</definedName>
    <definedName name="_______________________TPE1706" localSheetId="5">#N/A</definedName>
    <definedName name="_______________________TPE1706" localSheetId="6">#N/A</definedName>
    <definedName name="_______________________TPE1706">#N/A</definedName>
    <definedName name="_______________________TPE1708" localSheetId="5">#N/A</definedName>
    <definedName name="_______________________TPE1708" localSheetId="6">#N/A</definedName>
    <definedName name="_______________________TPE1708">#N/A</definedName>
    <definedName name="_______________________TPE1710" localSheetId="5">#N/A</definedName>
    <definedName name="_______________________TPE1710" localSheetId="6">#N/A</definedName>
    <definedName name="_______________________TPE1710">#N/A</definedName>
    <definedName name="_______________________TPE1735" localSheetId="5">#N/A</definedName>
    <definedName name="_______________________TPE1735" localSheetId="6">#N/A</definedName>
    <definedName name="_______________________TPE1735">#N/A</definedName>
    <definedName name="_______________________TPE1763" localSheetId="5">#N/A</definedName>
    <definedName name="_______________________TPE1763" localSheetId="6">#N/A</definedName>
    <definedName name="_______________________TPE1763">#N/A</definedName>
    <definedName name="_______________________TPE1790" localSheetId="5">#N/A</definedName>
    <definedName name="_______________________TPE1790" localSheetId="6">#N/A</definedName>
    <definedName name="_______________________TPE1790">#N/A</definedName>
    <definedName name="_______________________TPF12" localSheetId="5">[2]BASE!$D$217</definedName>
    <definedName name="_______________________TPF12" localSheetId="6">[2]BASE!$D$217</definedName>
    <definedName name="_______________________TPF12">[2]BASE!$D$217</definedName>
    <definedName name="_______________________TUZ22" localSheetId="5">'[2]BASE ORIGINAL'!#REF!</definedName>
    <definedName name="_______________________TUZ22" localSheetId="6">'[2]BASE ORIGINAL'!#REF!</definedName>
    <definedName name="_______________________TUZ22">'[2]BASE ORIGINAL'!#REF!</definedName>
    <definedName name="_______________________TUZ36" localSheetId="5">'[2]BASE ORIGINAL'!#REF!</definedName>
    <definedName name="_______________________TUZ36" localSheetId="6">'[2]BASE ORIGINAL'!#REF!</definedName>
    <definedName name="_______________________TUZ36">'[2]BASE ORIGINAL'!#REF!</definedName>
    <definedName name="_______________________TZ2110" localSheetId="5">[2]BASE!$D$79</definedName>
    <definedName name="_______________________TZ2110" localSheetId="6">[2]BASE!$D$79</definedName>
    <definedName name="_______________________TZ2110">[2]BASE!$D$79</definedName>
    <definedName name="_______________________TZ214" localSheetId="5">#N/A</definedName>
    <definedName name="_______________________TZ214" localSheetId="6">#N/A</definedName>
    <definedName name="_______________________TZ214">#N/A</definedName>
    <definedName name="_______________________TZ216" localSheetId="5">#N/A</definedName>
    <definedName name="_______________________TZ216" localSheetId="6">#N/A</definedName>
    <definedName name="_______________________TZ216">#N/A</definedName>
    <definedName name="_______________________TZ268">[4]BASE!$D$85</definedName>
    <definedName name="_______________________TZ323" localSheetId="5">'[2]BASE ORIGINAL'!#REF!</definedName>
    <definedName name="_______________________TZ323" localSheetId="6">'[2]BASE ORIGINAL'!#REF!</definedName>
    <definedName name="_______________________TZ323">'[2]BASE ORIGINAL'!#REF!</definedName>
    <definedName name="_______________________TZ324" localSheetId="5">'[2]BASE ORIGINAL'!#REF!</definedName>
    <definedName name="_______________________TZ324" localSheetId="6">'[2]BASE ORIGINAL'!#REF!</definedName>
    <definedName name="_______________________TZ324">'[2]BASE ORIGINAL'!#REF!</definedName>
    <definedName name="_______________________TZ32510" localSheetId="5">#N/A</definedName>
    <definedName name="_______________________TZ32510" localSheetId="6">#N/A</definedName>
    <definedName name="_______________________TZ32510">#N/A</definedName>
    <definedName name="______________________ADH12" localSheetId="5">[2]BASE!$D$218</definedName>
    <definedName name="______________________ADH12" localSheetId="6">[2]BASE!$D$218</definedName>
    <definedName name="______________________ADH12">[2]BASE!$D$218</definedName>
    <definedName name="______________________ADM12" localSheetId="5">[2]BASE!$D$219</definedName>
    <definedName name="______________________ADM12" localSheetId="6">[2]BASE!$D$219</definedName>
    <definedName name="______________________ADM12">[2]BASE!$D$219</definedName>
    <definedName name="______________________ADM4" localSheetId="5">[2]BASE!$D$120</definedName>
    <definedName name="______________________ADM4" localSheetId="6">[2]BASE!$D$120</definedName>
    <definedName name="______________________ADM4">[2]BASE!$D$120</definedName>
    <definedName name="______________________AIU1" localSheetId="5">#REF!</definedName>
    <definedName name="______________________AIU1" localSheetId="6">#REF!</definedName>
    <definedName name="______________________AIU1">#REF!</definedName>
    <definedName name="______________________AIU2">[3]BASE!$C$5</definedName>
    <definedName name="______________________AIU3">[10]BASE!$C$3</definedName>
    <definedName name="______________________BAZ10" localSheetId="5">[2]BASE!$D$270</definedName>
    <definedName name="______________________BAZ10" localSheetId="6">[2]BASE!$D$270</definedName>
    <definedName name="______________________BAZ10">[2]BASE!$D$270</definedName>
    <definedName name="______________________BLO20" localSheetId="5">[2]BASE!$D$56</definedName>
    <definedName name="______________________BLO20" localSheetId="6">[2]BASE!$D$56</definedName>
    <definedName name="______________________BLO20">[2]BASE!$D$56</definedName>
    <definedName name="______________________CAN28" localSheetId="5">[2]BASE!$D$315</definedName>
    <definedName name="______________________CAN28" localSheetId="6">[2]BASE!$D$315</definedName>
    <definedName name="______________________CAN28">[2]BASE!$D$315</definedName>
    <definedName name="______________________Cod1" localSheetId="5">#REF!</definedName>
    <definedName name="______________________Cod1" localSheetId="6">#REF!</definedName>
    <definedName name="______________________Cod1">#REF!</definedName>
    <definedName name="______________________CUA44" localSheetId="5">[2]BASE!$D$253</definedName>
    <definedName name="______________________CUA44" localSheetId="6">[2]BASE!$D$253</definedName>
    <definedName name="______________________CUA44">[2]BASE!$D$253</definedName>
    <definedName name="______________________LA124" localSheetId="5">[2]BASE!$D$64</definedName>
    <definedName name="______________________LA124" localSheetId="6">[2]BASE!$D$64</definedName>
    <definedName name="______________________LA124">[2]BASE!$D$64</definedName>
    <definedName name="______________________LAC18">[4]BASE!$D$252</definedName>
    <definedName name="______________________Po2">[5]REAJUSTESACTA1PROVI!#REF!</definedName>
    <definedName name="______________________R84JH">[4]BASE!$D$172</definedName>
    <definedName name="______________________REP43">[6]BASE!$D$136</definedName>
    <definedName name="______________________TEP44" localSheetId="5">#N/A</definedName>
    <definedName name="______________________TEP44" localSheetId="6">#N/A</definedName>
    <definedName name="______________________TEP44">#N/A</definedName>
    <definedName name="______________________TPE1132" localSheetId="5">#N/A</definedName>
    <definedName name="______________________TPE1132" localSheetId="6">#N/A</definedName>
    <definedName name="______________________TPE1132">#N/A</definedName>
    <definedName name="______________________TPE12" localSheetId="5">#REF!</definedName>
    <definedName name="______________________TPE12" localSheetId="6">#REF!</definedName>
    <definedName name="______________________TPE12">#REF!</definedName>
    <definedName name="______________________TPE1331" localSheetId="5">#N/A</definedName>
    <definedName name="______________________TPE1331" localSheetId="6">#N/A</definedName>
    <definedName name="______________________TPE1331">#N/A</definedName>
    <definedName name="______________________TPE1702" localSheetId="5">#N/A</definedName>
    <definedName name="______________________TPE1702" localSheetId="6">#N/A</definedName>
    <definedName name="______________________TPE1702">#N/A</definedName>
    <definedName name="______________________TPE1703" localSheetId="5">#N/A</definedName>
    <definedName name="______________________TPE1703" localSheetId="6">#N/A</definedName>
    <definedName name="______________________TPE1703">#N/A</definedName>
    <definedName name="______________________TPE1704" localSheetId="5">#N/A</definedName>
    <definedName name="______________________TPE1704" localSheetId="6">#N/A</definedName>
    <definedName name="______________________TPE1704">#N/A</definedName>
    <definedName name="______________________TPE1706" localSheetId="5">#N/A</definedName>
    <definedName name="______________________TPE1706" localSheetId="6">#N/A</definedName>
    <definedName name="______________________TPE1706">#N/A</definedName>
    <definedName name="______________________TPE1708" localSheetId="5">#N/A</definedName>
    <definedName name="______________________TPE1708" localSheetId="6">#N/A</definedName>
    <definedName name="______________________TPE1708">#N/A</definedName>
    <definedName name="______________________TPE1710" localSheetId="5">#N/A</definedName>
    <definedName name="______________________TPE1710" localSheetId="6">#N/A</definedName>
    <definedName name="______________________TPE1710">#N/A</definedName>
    <definedName name="______________________TPE1735" localSheetId="5">#N/A</definedName>
    <definedName name="______________________TPE1735" localSheetId="6">#N/A</definedName>
    <definedName name="______________________TPE1735">#N/A</definedName>
    <definedName name="______________________TPE1763" localSheetId="5">#N/A</definedName>
    <definedName name="______________________TPE1763" localSheetId="6">#N/A</definedName>
    <definedName name="______________________TPE1763">#N/A</definedName>
    <definedName name="______________________TPE1790" localSheetId="5">#N/A</definedName>
    <definedName name="______________________TPE1790" localSheetId="6">#N/A</definedName>
    <definedName name="______________________TPE1790">#N/A</definedName>
    <definedName name="______________________TPF12" localSheetId="5">[2]BASE!$D$217</definedName>
    <definedName name="______________________TPF12" localSheetId="6">[2]BASE!$D$217</definedName>
    <definedName name="______________________TPF12">[2]BASE!$D$217</definedName>
    <definedName name="______________________TUZ22" localSheetId="5">'[2]BASE ORIGINAL'!#REF!</definedName>
    <definedName name="______________________TUZ22" localSheetId="6">'[2]BASE ORIGINAL'!#REF!</definedName>
    <definedName name="______________________TUZ22">'[2]BASE ORIGINAL'!#REF!</definedName>
    <definedName name="______________________TUZ36" localSheetId="5">'[2]BASE ORIGINAL'!#REF!</definedName>
    <definedName name="______________________TUZ36" localSheetId="6">'[2]BASE ORIGINAL'!#REF!</definedName>
    <definedName name="______________________TUZ36">'[2]BASE ORIGINAL'!#REF!</definedName>
    <definedName name="______________________TZ2110" localSheetId="5">[2]BASE!$D$79</definedName>
    <definedName name="______________________TZ2110" localSheetId="6">[2]BASE!$D$79</definedName>
    <definedName name="______________________TZ2110">[2]BASE!$D$79</definedName>
    <definedName name="______________________TZ214" localSheetId="5">#N/A</definedName>
    <definedName name="______________________TZ214" localSheetId="6">#N/A</definedName>
    <definedName name="______________________TZ214">#N/A</definedName>
    <definedName name="______________________TZ216" localSheetId="5">#N/A</definedName>
    <definedName name="______________________TZ216" localSheetId="6">#N/A</definedName>
    <definedName name="______________________TZ216">#N/A</definedName>
    <definedName name="______________________TZ268">[4]BASE!$D$85</definedName>
    <definedName name="______________________TZ323" localSheetId="5">'[2]BASE ORIGINAL'!#REF!</definedName>
    <definedName name="______________________TZ323" localSheetId="6">'[2]BASE ORIGINAL'!#REF!</definedName>
    <definedName name="______________________TZ323">'[2]BASE ORIGINAL'!#REF!</definedName>
    <definedName name="______________________TZ324" localSheetId="5">'[2]BASE ORIGINAL'!#REF!</definedName>
    <definedName name="______________________TZ324" localSheetId="6">'[2]BASE ORIGINAL'!#REF!</definedName>
    <definedName name="______________________TZ324">'[2]BASE ORIGINAL'!#REF!</definedName>
    <definedName name="______________________TZ32510" localSheetId="5">#N/A</definedName>
    <definedName name="______________________TZ32510" localSheetId="6">#N/A</definedName>
    <definedName name="______________________TZ32510">#N/A</definedName>
    <definedName name="_____________________ADH12" localSheetId="5">[2]BASE!$D$218</definedName>
    <definedName name="_____________________ADH12" localSheetId="6">[2]BASE!$D$218</definedName>
    <definedName name="_____________________ADH12">[2]BASE!$D$218</definedName>
    <definedName name="_____________________ADM12" localSheetId="5">[2]BASE!$D$219</definedName>
    <definedName name="_____________________ADM12" localSheetId="6">[2]BASE!$D$219</definedName>
    <definedName name="_____________________ADM12">[2]BASE!$D$219</definedName>
    <definedName name="_____________________ADM4" localSheetId="5">[2]BASE!$D$120</definedName>
    <definedName name="_____________________ADM4" localSheetId="6">[2]BASE!$D$120</definedName>
    <definedName name="_____________________ADM4">[2]BASE!$D$120</definedName>
    <definedName name="_____________________AIU1" localSheetId="5">#REF!</definedName>
    <definedName name="_____________________AIU1" localSheetId="6">#REF!</definedName>
    <definedName name="_____________________AIU1">#REF!</definedName>
    <definedName name="_____________________AIU2">[3]BASE!$C$5</definedName>
    <definedName name="_____________________AIU3">[11]BASE!$C$3</definedName>
    <definedName name="_____________________BAZ10" localSheetId="5">[2]BASE!$D$270</definedName>
    <definedName name="_____________________BAZ10" localSheetId="6">[2]BASE!$D$270</definedName>
    <definedName name="_____________________BAZ10">[2]BASE!$D$270</definedName>
    <definedName name="_____________________BLO20" localSheetId="5">[2]BASE!$D$56</definedName>
    <definedName name="_____________________BLO20" localSheetId="6">[2]BASE!$D$56</definedName>
    <definedName name="_____________________BLO20">[2]BASE!$D$56</definedName>
    <definedName name="_____________________CAN28" localSheetId="5">[2]BASE!$D$315</definedName>
    <definedName name="_____________________CAN28" localSheetId="6">[2]BASE!$D$315</definedName>
    <definedName name="_____________________CAN28">[2]BASE!$D$315</definedName>
    <definedName name="_____________________Cod1" localSheetId="5">#REF!</definedName>
    <definedName name="_____________________Cod1" localSheetId="6">#REF!</definedName>
    <definedName name="_____________________Cod1">#REF!</definedName>
    <definedName name="_____________________CUA44" localSheetId="5">[2]BASE!$D$253</definedName>
    <definedName name="_____________________CUA44" localSheetId="6">[2]BASE!$D$253</definedName>
    <definedName name="_____________________CUA44">[2]BASE!$D$253</definedName>
    <definedName name="_____________________LA124" localSheetId="5">[2]BASE!$D$64</definedName>
    <definedName name="_____________________LA124" localSheetId="6">[2]BASE!$D$64</definedName>
    <definedName name="_____________________LA124">[2]BASE!$D$64</definedName>
    <definedName name="_____________________LAC18">[4]BASE!$D$252</definedName>
    <definedName name="_____________________Po2">[5]REAJUSTESACTA1PROVI!#REF!</definedName>
    <definedName name="_____________________R84JH">[4]BASE!$D$172</definedName>
    <definedName name="_____________________REP43">[6]BASE!$D$136</definedName>
    <definedName name="_____________________TEP44" localSheetId="5">#N/A</definedName>
    <definedName name="_____________________TEP44" localSheetId="6">#N/A</definedName>
    <definedName name="_____________________TEP44">#N/A</definedName>
    <definedName name="_____________________TPE1132" localSheetId="5">#N/A</definedName>
    <definedName name="_____________________TPE1132" localSheetId="6">#N/A</definedName>
    <definedName name="_____________________TPE1132">#N/A</definedName>
    <definedName name="_____________________TPE12" localSheetId="5">#REF!</definedName>
    <definedName name="_____________________TPE12" localSheetId="6">#REF!</definedName>
    <definedName name="_____________________TPE12">#REF!</definedName>
    <definedName name="_____________________TPE1331" localSheetId="5">#N/A</definedName>
    <definedName name="_____________________TPE1331" localSheetId="6">#N/A</definedName>
    <definedName name="_____________________TPE1331">#N/A</definedName>
    <definedName name="_____________________TPE1702" localSheetId="5">#N/A</definedName>
    <definedName name="_____________________TPE1702" localSheetId="6">#N/A</definedName>
    <definedName name="_____________________TPE1702">#N/A</definedName>
    <definedName name="_____________________TPE1703" localSheetId="5">#N/A</definedName>
    <definedName name="_____________________TPE1703" localSheetId="6">#N/A</definedName>
    <definedName name="_____________________TPE1703">#N/A</definedName>
    <definedName name="_____________________TPE1704" localSheetId="5">#N/A</definedName>
    <definedName name="_____________________TPE1704" localSheetId="6">#N/A</definedName>
    <definedName name="_____________________TPE1704">#N/A</definedName>
    <definedName name="_____________________TPE1706" localSheetId="5">#N/A</definedName>
    <definedName name="_____________________TPE1706" localSheetId="6">#N/A</definedName>
    <definedName name="_____________________TPE1706">#N/A</definedName>
    <definedName name="_____________________TPE1708" localSheetId="5">#N/A</definedName>
    <definedName name="_____________________TPE1708" localSheetId="6">#N/A</definedName>
    <definedName name="_____________________TPE1708">#N/A</definedName>
    <definedName name="_____________________TPE1710" localSheetId="5">#N/A</definedName>
    <definedName name="_____________________TPE1710" localSheetId="6">#N/A</definedName>
    <definedName name="_____________________TPE1710">#N/A</definedName>
    <definedName name="_____________________TPE1735" localSheetId="5">#N/A</definedName>
    <definedName name="_____________________TPE1735" localSheetId="6">#N/A</definedName>
    <definedName name="_____________________TPE1735">#N/A</definedName>
    <definedName name="_____________________TPE1763" localSheetId="5">#N/A</definedName>
    <definedName name="_____________________TPE1763" localSheetId="6">#N/A</definedName>
    <definedName name="_____________________TPE1763">#N/A</definedName>
    <definedName name="_____________________TPE1790" localSheetId="5">#N/A</definedName>
    <definedName name="_____________________TPE1790" localSheetId="6">#N/A</definedName>
    <definedName name="_____________________TPE1790">#N/A</definedName>
    <definedName name="_____________________TPF12" localSheetId="5">[2]BASE!$D$217</definedName>
    <definedName name="_____________________TPF12" localSheetId="6">[2]BASE!$D$217</definedName>
    <definedName name="_____________________TPF12">[2]BASE!$D$217</definedName>
    <definedName name="_____________________TUZ22" localSheetId="5">'[2]BASE ORIGINAL'!#REF!</definedName>
    <definedName name="_____________________TUZ22" localSheetId="6">'[2]BASE ORIGINAL'!#REF!</definedName>
    <definedName name="_____________________TUZ22">'[2]BASE ORIGINAL'!#REF!</definedName>
    <definedName name="_____________________TUZ36" localSheetId="5">'[2]BASE ORIGINAL'!#REF!</definedName>
    <definedName name="_____________________TUZ36" localSheetId="6">'[2]BASE ORIGINAL'!#REF!</definedName>
    <definedName name="_____________________TUZ36">'[2]BASE ORIGINAL'!#REF!</definedName>
    <definedName name="_____________________TZ2110" localSheetId="5">[2]BASE!$D$79</definedName>
    <definedName name="_____________________TZ2110" localSheetId="6">[2]BASE!$D$79</definedName>
    <definedName name="_____________________TZ2110">[2]BASE!$D$79</definedName>
    <definedName name="_____________________TZ214" localSheetId="5">#N/A</definedName>
    <definedName name="_____________________TZ214" localSheetId="6">#N/A</definedName>
    <definedName name="_____________________TZ214">#N/A</definedName>
    <definedName name="_____________________TZ216" localSheetId="5">#N/A</definedName>
    <definedName name="_____________________TZ216" localSheetId="6">#N/A</definedName>
    <definedName name="_____________________TZ216">#N/A</definedName>
    <definedName name="_____________________TZ268">[4]BASE!$D$85</definedName>
    <definedName name="_____________________TZ323" localSheetId="5">'[2]BASE ORIGINAL'!#REF!</definedName>
    <definedName name="_____________________TZ323" localSheetId="6">'[2]BASE ORIGINAL'!#REF!</definedName>
    <definedName name="_____________________TZ323">'[2]BASE ORIGINAL'!#REF!</definedName>
    <definedName name="_____________________TZ324" localSheetId="5">'[2]BASE ORIGINAL'!#REF!</definedName>
    <definedName name="_____________________TZ324" localSheetId="6">'[2]BASE ORIGINAL'!#REF!</definedName>
    <definedName name="_____________________TZ324">'[2]BASE ORIGINAL'!#REF!</definedName>
    <definedName name="_____________________TZ32510" localSheetId="5">#N/A</definedName>
    <definedName name="_____________________TZ32510" localSheetId="6">#N/A</definedName>
    <definedName name="_____________________TZ32510">#N/A</definedName>
    <definedName name="____________________ADH12" localSheetId="5">[2]BASE!$D$218</definedName>
    <definedName name="____________________ADH12" localSheetId="6">[2]BASE!$D$218</definedName>
    <definedName name="____________________ADH12">[2]BASE!$D$218</definedName>
    <definedName name="____________________ADM12" localSheetId="5">[2]BASE!$D$219</definedName>
    <definedName name="____________________ADM12" localSheetId="6">[2]BASE!$D$219</definedName>
    <definedName name="____________________ADM12">[2]BASE!$D$219</definedName>
    <definedName name="____________________ADM4" localSheetId="5">[2]BASE!$D$120</definedName>
    <definedName name="____________________ADM4" localSheetId="6">[2]BASE!$D$120</definedName>
    <definedName name="____________________ADM4">[2]BASE!$D$120</definedName>
    <definedName name="____________________AIU1" localSheetId="5">#REF!</definedName>
    <definedName name="____________________AIU1" localSheetId="6">#REF!</definedName>
    <definedName name="____________________AIU1">#REF!</definedName>
    <definedName name="____________________AIU2">[3]BASE!$C$5</definedName>
    <definedName name="____________________AIU3">[11]BASE!$C$3</definedName>
    <definedName name="____________________BAZ10" localSheetId="5">[2]BASE!$D$270</definedName>
    <definedName name="____________________BAZ10" localSheetId="6">[2]BASE!$D$270</definedName>
    <definedName name="____________________BAZ10">[2]BASE!$D$270</definedName>
    <definedName name="____________________BLO20" localSheetId="5">[2]BASE!$D$56</definedName>
    <definedName name="____________________BLO20" localSheetId="6">[2]BASE!$D$56</definedName>
    <definedName name="____________________BLO20">[2]BASE!$D$56</definedName>
    <definedName name="____________________CAN28" localSheetId="5">[2]BASE!$D$315</definedName>
    <definedName name="____________________CAN28" localSheetId="6">[2]BASE!$D$315</definedName>
    <definedName name="____________________CAN28">[2]BASE!$D$315</definedName>
    <definedName name="____________________Cod1" localSheetId="5">#REF!</definedName>
    <definedName name="____________________Cod1" localSheetId="6">#REF!</definedName>
    <definedName name="____________________Cod1">#REF!</definedName>
    <definedName name="____________________CUA44" localSheetId="5">[2]BASE!$D$253</definedName>
    <definedName name="____________________CUA44" localSheetId="6">[2]BASE!$D$253</definedName>
    <definedName name="____________________CUA44">[2]BASE!$D$253</definedName>
    <definedName name="____________________LA124" localSheetId="5">[2]BASE!$D$64</definedName>
    <definedName name="____________________LA124" localSheetId="6">[2]BASE!$D$64</definedName>
    <definedName name="____________________LA124">[2]BASE!$D$64</definedName>
    <definedName name="____________________LAC18">[4]BASE!$D$252</definedName>
    <definedName name="____________________Po2">[5]REAJUSTESACTA1PROVI!#REF!</definedName>
    <definedName name="____________________R84JH">[4]BASE!$D$172</definedName>
    <definedName name="____________________REP43">[6]BASE!$D$136</definedName>
    <definedName name="____________________TEP44" localSheetId="5">#N/A</definedName>
    <definedName name="____________________TEP44" localSheetId="6">#N/A</definedName>
    <definedName name="____________________TEP44">#N/A</definedName>
    <definedName name="____________________TPE1132" localSheetId="5">#N/A</definedName>
    <definedName name="____________________TPE1132" localSheetId="6">#N/A</definedName>
    <definedName name="____________________TPE1132">#N/A</definedName>
    <definedName name="____________________TPE12" localSheetId="5">#REF!</definedName>
    <definedName name="____________________TPE12" localSheetId="6">#REF!</definedName>
    <definedName name="____________________TPE12">#REF!</definedName>
    <definedName name="____________________TPE1331" localSheetId="5">#N/A</definedName>
    <definedName name="____________________TPE1331" localSheetId="6">#N/A</definedName>
    <definedName name="____________________TPE1331">#N/A</definedName>
    <definedName name="____________________TPE1702" localSheetId="5">#N/A</definedName>
    <definedName name="____________________TPE1702" localSheetId="6">#N/A</definedName>
    <definedName name="____________________TPE1702">#N/A</definedName>
    <definedName name="____________________TPE1703" localSheetId="5">#N/A</definedName>
    <definedName name="____________________TPE1703" localSheetId="6">#N/A</definedName>
    <definedName name="____________________TPE1703">#N/A</definedName>
    <definedName name="____________________TPE1704" localSheetId="5">#N/A</definedName>
    <definedName name="____________________TPE1704" localSheetId="6">#N/A</definedName>
    <definedName name="____________________TPE1704">#N/A</definedName>
    <definedName name="____________________TPE1706" localSheetId="5">#N/A</definedName>
    <definedName name="____________________TPE1706" localSheetId="6">#N/A</definedName>
    <definedName name="____________________TPE1706">#N/A</definedName>
    <definedName name="____________________TPE1708" localSheetId="5">#N/A</definedName>
    <definedName name="____________________TPE1708" localSheetId="6">#N/A</definedName>
    <definedName name="____________________TPE1708">#N/A</definedName>
    <definedName name="____________________TPE1710" localSheetId="5">#N/A</definedName>
    <definedName name="____________________TPE1710" localSheetId="6">#N/A</definedName>
    <definedName name="____________________TPE1710">#N/A</definedName>
    <definedName name="____________________TPE1735" localSheetId="5">#N/A</definedName>
    <definedName name="____________________TPE1735" localSheetId="6">#N/A</definedName>
    <definedName name="____________________TPE1735">#N/A</definedName>
    <definedName name="____________________TPE1763" localSheetId="5">#N/A</definedName>
    <definedName name="____________________TPE1763" localSheetId="6">#N/A</definedName>
    <definedName name="____________________TPE1763">#N/A</definedName>
    <definedName name="____________________TPE1790" localSheetId="5">#N/A</definedName>
    <definedName name="____________________TPE1790" localSheetId="6">#N/A</definedName>
    <definedName name="____________________TPE1790">#N/A</definedName>
    <definedName name="____________________TPF12" localSheetId="5">[2]BASE!$D$217</definedName>
    <definedName name="____________________TPF12" localSheetId="6">[2]BASE!$D$217</definedName>
    <definedName name="____________________TPF12">[2]BASE!$D$217</definedName>
    <definedName name="____________________TUZ22" localSheetId="5">'[2]BASE ORIGINAL'!#REF!</definedName>
    <definedName name="____________________TUZ22" localSheetId="6">'[2]BASE ORIGINAL'!#REF!</definedName>
    <definedName name="____________________TUZ22">'[2]BASE ORIGINAL'!#REF!</definedName>
    <definedName name="____________________TUZ36" localSheetId="5">'[2]BASE ORIGINAL'!#REF!</definedName>
    <definedName name="____________________TUZ36" localSheetId="6">'[2]BASE ORIGINAL'!#REF!</definedName>
    <definedName name="____________________TUZ36">'[2]BASE ORIGINAL'!#REF!</definedName>
    <definedName name="____________________TZ2110" localSheetId="5">[2]BASE!$D$79</definedName>
    <definedName name="____________________TZ2110" localSheetId="6">[2]BASE!$D$79</definedName>
    <definedName name="____________________TZ2110">[2]BASE!$D$79</definedName>
    <definedName name="____________________TZ214" localSheetId="5">#N/A</definedName>
    <definedName name="____________________TZ214" localSheetId="6">#N/A</definedName>
    <definedName name="____________________TZ214">#N/A</definedName>
    <definedName name="____________________TZ216" localSheetId="5">#N/A</definedName>
    <definedName name="____________________TZ216" localSheetId="6">#N/A</definedName>
    <definedName name="____________________TZ216">#N/A</definedName>
    <definedName name="____________________TZ268">[4]BASE!$D$85</definedName>
    <definedName name="____________________TZ323" localSheetId="5">'[2]BASE ORIGINAL'!#REF!</definedName>
    <definedName name="____________________TZ323" localSheetId="6">'[2]BASE ORIGINAL'!#REF!</definedName>
    <definedName name="____________________TZ323">'[2]BASE ORIGINAL'!#REF!</definedName>
    <definedName name="____________________TZ324" localSheetId="5">'[2]BASE ORIGINAL'!#REF!</definedName>
    <definedName name="____________________TZ324" localSheetId="6">'[2]BASE ORIGINAL'!#REF!</definedName>
    <definedName name="____________________TZ324">'[2]BASE ORIGINAL'!#REF!</definedName>
    <definedName name="____________________TZ32510" localSheetId="5">#N/A</definedName>
    <definedName name="____________________TZ32510" localSheetId="6">#N/A</definedName>
    <definedName name="____________________TZ32510">#N/A</definedName>
    <definedName name="___________________ADH12" localSheetId="5">[2]BASE!$D$218</definedName>
    <definedName name="___________________ADH12" localSheetId="6">[2]BASE!$D$218</definedName>
    <definedName name="___________________ADH12">[2]BASE!$D$218</definedName>
    <definedName name="___________________ADM12" localSheetId="5">[2]BASE!$D$219</definedName>
    <definedName name="___________________ADM12" localSheetId="6">[2]BASE!$D$219</definedName>
    <definedName name="___________________ADM12">[2]BASE!$D$219</definedName>
    <definedName name="___________________ADM4" localSheetId="5">[2]BASE!$D$120</definedName>
    <definedName name="___________________ADM4" localSheetId="6">[2]BASE!$D$120</definedName>
    <definedName name="___________________ADM4">[2]BASE!$D$120</definedName>
    <definedName name="___________________AIU1" localSheetId="5">#REF!</definedName>
    <definedName name="___________________AIU1" localSheetId="6">#REF!</definedName>
    <definedName name="___________________AIU1">#REF!</definedName>
    <definedName name="___________________AIU2">[3]BASE!$C$5</definedName>
    <definedName name="___________________AIU3">[11]BASE!$C$3</definedName>
    <definedName name="___________________BAZ10" localSheetId="5">[2]BASE!$D$270</definedName>
    <definedName name="___________________BAZ10" localSheetId="6">[2]BASE!$D$270</definedName>
    <definedName name="___________________BAZ10">[2]BASE!$D$270</definedName>
    <definedName name="___________________BLO20" localSheetId="5">[2]BASE!$D$56</definedName>
    <definedName name="___________________BLO20" localSheetId="6">[2]BASE!$D$56</definedName>
    <definedName name="___________________BLO20">[2]BASE!$D$56</definedName>
    <definedName name="___________________CAN28" localSheetId="5">[2]BASE!$D$315</definedName>
    <definedName name="___________________CAN28" localSheetId="6">[2]BASE!$D$315</definedName>
    <definedName name="___________________CAN28">[2]BASE!$D$315</definedName>
    <definedName name="___________________Cod1" localSheetId="5">#REF!</definedName>
    <definedName name="___________________Cod1" localSheetId="6">#REF!</definedName>
    <definedName name="___________________Cod1">#REF!</definedName>
    <definedName name="___________________CUA44" localSheetId="5">[2]BASE!$D$253</definedName>
    <definedName name="___________________CUA44" localSheetId="6">[2]BASE!$D$253</definedName>
    <definedName name="___________________CUA44">[2]BASE!$D$253</definedName>
    <definedName name="___________________LA124" localSheetId="5">[2]BASE!$D$64</definedName>
    <definedName name="___________________LA124" localSheetId="6">[2]BASE!$D$64</definedName>
    <definedName name="___________________LA124">[2]BASE!$D$64</definedName>
    <definedName name="___________________LAC18">[4]BASE!$D$252</definedName>
    <definedName name="___________________Po2">[5]REAJUSTESACTA1PROVI!#REF!</definedName>
    <definedName name="___________________R84JH">[4]BASE!$D$172</definedName>
    <definedName name="___________________REP43">[6]BASE!$D$136</definedName>
    <definedName name="___________________TEP44" localSheetId="5">#N/A</definedName>
    <definedName name="___________________TEP44" localSheetId="6">#N/A</definedName>
    <definedName name="___________________TEP44">#N/A</definedName>
    <definedName name="___________________TPE1132" localSheetId="5">#N/A</definedName>
    <definedName name="___________________TPE1132" localSheetId="6">#N/A</definedName>
    <definedName name="___________________TPE1132">#N/A</definedName>
    <definedName name="___________________TPE12" localSheetId="5">#REF!</definedName>
    <definedName name="___________________TPE12" localSheetId="6">#REF!</definedName>
    <definedName name="___________________TPE12">#REF!</definedName>
    <definedName name="___________________TPE1331" localSheetId="5">#N/A</definedName>
    <definedName name="___________________TPE1331" localSheetId="6">#N/A</definedName>
    <definedName name="___________________TPE1331">#N/A</definedName>
    <definedName name="___________________TPE1702" localSheetId="5">#N/A</definedName>
    <definedName name="___________________TPE1702" localSheetId="6">#N/A</definedName>
    <definedName name="___________________TPE1702">#N/A</definedName>
    <definedName name="___________________TPE1703" localSheetId="5">#N/A</definedName>
    <definedName name="___________________TPE1703" localSheetId="6">#N/A</definedName>
    <definedName name="___________________TPE1703">#N/A</definedName>
    <definedName name="___________________TPE1704" localSheetId="5">#N/A</definedName>
    <definedName name="___________________TPE1704" localSheetId="6">#N/A</definedName>
    <definedName name="___________________TPE1704">#N/A</definedName>
    <definedName name="___________________TPE1706" localSheetId="5">#N/A</definedName>
    <definedName name="___________________TPE1706" localSheetId="6">#N/A</definedName>
    <definedName name="___________________TPE1706">#N/A</definedName>
    <definedName name="___________________TPE1708" localSheetId="5">#N/A</definedName>
    <definedName name="___________________TPE1708" localSheetId="6">#N/A</definedName>
    <definedName name="___________________TPE1708">#N/A</definedName>
    <definedName name="___________________TPE1710" localSheetId="5">#N/A</definedName>
    <definedName name="___________________TPE1710" localSheetId="6">#N/A</definedName>
    <definedName name="___________________TPE1710">#N/A</definedName>
    <definedName name="___________________TPE1735" localSheetId="5">#N/A</definedName>
    <definedName name="___________________TPE1735" localSheetId="6">#N/A</definedName>
    <definedName name="___________________TPE1735">#N/A</definedName>
    <definedName name="___________________TPE1763" localSheetId="5">#N/A</definedName>
    <definedName name="___________________TPE1763" localSheetId="6">#N/A</definedName>
    <definedName name="___________________TPE1763">#N/A</definedName>
    <definedName name="___________________TPE1790" localSheetId="5">#N/A</definedName>
    <definedName name="___________________TPE1790" localSheetId="6">#N/A</definedName>
    <definedName name="___________________TPE1790">#N/A</definedName>
    <definedName name="___________________TPF12" localSheetId="5">[2]BASE!$D$217</definedName>
    <definedName name="___________________TPF12" localSheetId="6">[2]BASE!$D$217</definedName>
    <definedName name="___________________TPF12">[2]BASE!$D$217</definedName>
    <definedName name="___________________TUZ22" localSheetId="5">'[2]BASE ORIGINAL'!#REF!</definedName>
    <definedName name="___________________TUZ22" localSheetId="6">'[2]BASE ORIGINAL'!#REF!</definedName>
    <definedName name="___________________TUZ22">'[2]BASE ORIGINAL'!#REF!</definedName>
    <definedName name="___________________TUZ36" localSheetId="5">'[2]BASE ORIGINAL'!#REF!</definedName>
    <definedName name="___________________TUZ36" localSheetId="6">'[2]BASE ORIGINAL'!#REF!</definedName>
    <definedName name="___________________TUZ36">'[2]BASE ORIGINAL'!#REF!</definedName>
    <definedName name="___________________TZ2110" localSheetId="5">[2]BASE!$D$79</definedName>
    <definedName name="___________________TZ2110" localSheetId="6">[2]BASE!$D$79</definedName>
    <definedName name="___________________TZ2110">[2]BASE!$D$79</definedName>
    <definedName name="___________________TZ214" localSheetId="5">#N/A</definedName>
    <definedName name="___________________TZ214" localSheetId="6">#N/A</definedName>
    <definedName name="___________________TZ214">#N/A</definedName>
    <definedName name="___________________TZ216" localSheetId="5">#N/A</definedName>
    <definedName name="___________________TZ216" localSheetId="6">#N/A</definedName>
    <definedName name="___________________TZ216">#N/A</definedName>
    <definedName name="___________________TZ268">[4]BASE!$D$85</definedName>
    <definedName name="___________________TZ323" localSheetId="5">'[2]BASE ORIGINAL'!#REF!</definedName>
    <definedName name="___________________TZ323" localSheetId="6">'[2]BASE ORIGINAL'!#REF!</definedName>
    <definedName name="___________________TZ323">'[2]BASE ORIGINAL'!#REF!</definedName>
    <definedName name="___________________TZ324" localSheetId="5">'[2]BASE ORIGINAL'!#REF!</definedName>
    <definedName name="___________________TZ324" localSheetId="6">'[2]BASE ORIGINAL'!#REF!</definedName>
    <definedName name="___________________TZ324">'[2]BASE ORIGINAL'!#REF!</definedName>
    <definedName name="___________________TZ32510" localSheetId="5">#N/A</definedName>
    <definedName name="___________________TZ32510" localSheetId="6">#N/A</definedName>
    <definedName name="___________________TZ32510">#N/A</definedName>
    <definedName name="__________________ADH12" localSheetId="5">[2]BASE!$D$218</definedName>
    <definedName name="__________________ADH12" localSheetId="6">[2]BASE!$D$218</definedName>
    <definedName name="__________________ADH12">[2]BASE!$D$218</definedName>
    <definedName name="__________________ADM12" localSheetId="5">[2]BASE!$D$219</definedName>
    <definedName name="__________________ADM12" localSheetId="6">[2]BASE!$D$219</definedName>
    <definedName name="__________________ADM12">[2]BASE!$D$219</definedName>
    <definedName name="__________________ADM4" localSheetId="5">[2]BASE!$D$120</definedName>
    <definedName name="__________________ADM4" localSheetId="6">[2]BASE!$D$120</definedName>
    <definedName name="__________________ADM4">[2]BASE!$D$120</definedName>
    <definedName name="__________________AIU1" localSheetId="5">#REF!</definedName>
    <definedName name="__________________AIU1" localSheetId="6">#REF!</definedName>
    <definedName name="__________________AIU1">#REF!</definedName>
    <definedName name="__________________AIU2">[3]BASE!$C$5</definedName>
    <definedName name="__________________AIU3">[11]BASE!$C$3</definedName>
    <definedName name="__________________BAZ10" localSheetId="5">[2]BASE!$D$270</definedName>
    <definedName name="__________________BAZ10" localSheetId="6">[2]BASE!$D$270</definedName>
    <definedName name="__________________BAZ10">[2]BASE!$D$270</definedName>
    <definedName name="__________________BLO20" localSheetId="5">[2]BASE!$D$56</definedName>
    <definedName name="__________________BLO20" localSheetId="6">[2]BASE!$D$56</definedName>
    <definedName name="__________________BLO20">[2]BASE!$D$56</definedName>
    <definedName name="__________________CAN28" localSheetId="5">[2]BASE!$D$315</definedName>
    <definedName name="__________________CAN28" localSheetId="6">[2]BASE!$D$315</definedName>
    <definedName name="__________________CAN28">[2]BASE!$D$315</definedName>
    <definedName name="__________________Cod1" localSheetId="5">#REF!</definedName>
    <definedName name="__________________Cod1" localSheetId="6">#REF!</definedName>
    <definedName name="__________________Cod1">#REF!</definedName>
    <definedName name="__________________CUA44" localSheetId="5">[2]BASE!$D$253</definedName>
    <definedName name="__________________CUA44" localSheetId="6">[2]BASE!$D$253</definedName>
    <definedName name="__________________CUA44">[2]BASE!$D$253</definedName>
    <definedName name="__________________LA124" localSheetId="5">[2]BASE!$D$64</definedName>
    <definedName name="__________________LA124" localSheetId="6">[2]BASE!$D$64</definedName>
    <definedName name="__________________LA124">[2]BASE!$D$64</definedName>
    <definedName name="__________________LAC18">[4]BASE!$D$252</definedName>
    <definedName name="__________________Po2">[5]REAJUSTESACTA1PROVI!#REF!</definedName>
    <definedName name="__________________R84JH">[4]BASE!$D$172</definedName>
    <definedName name="__________________REP43">[6]BASE!$D$136</definedName>
    <definedName name="__________________TEP44" localSheetId="5">#N/A</definedName>
    <definedName name="__________________TEP44" localSheetId="6">#N/A</definedName>
    <definedName name="__________________TEP44">#N/A</definedName>
    <definedName name="__________________TPE1132" localSheetId="5">#N/A</definedName>
    <definedName name="__________________TPE1132" localSheetId="6">#N/A</definedName>
    <definedName name="__________________TPE1132">#N/A</definedName>
    <definedName name="__________________TPE12" localSheetId="5">#REF!</definedName>
    <definedName name="__________________TPE12" localSheetId="6">#REF!</definedName>
    <definedName name="__________________TPE12">#REF!</definedName>
    <definedName name="__________________TPE1331" localSheetId="5">#N/A</definedName>
    <definedName name="__________________TPE1331" localSheetId="6">#N/A</definedName>
    <definedName name="__________________TPE1331">#N/A</definedName>
    <definedName name="__________________TPE1702" localSheetId="5">#N/A</definedName>
    <definedName name="__________________TPE1702" localSheetId="6">#N/A</definedName>
    <definedName name="__________________TPE1702">#N/A</definedName>
    <definedName name="__________________TPE1703" localSheetId="5">#N/A</definedName>
    <definedName name="__________________TPE1703" localSheetId="6">#N/A</definedName>
    <definedName name="__________________TPE1703">#N/A</definedName>
    <definedName name="__________________TPE1704" localSheetId="5">#N/A</definedName>
    <definedName name="__________________TPE1704" localSheetId="6">#N/A</definedName>
    <definedName name="__________________TPE1704">#N/A</definedName>
    <definedName name="__________________TPE1706" localSheetId="5">#N/A</definedName>
    <definedName name="__________________TPE1706" localSheetId="6">#N/A</definedName>
    <definedName name="__________________TPE1706">#N/A</definedName>
    <definedName name="__________________TPE1708" localSheetId="5">#N/A</definedName>
    <definedName name="__________________TPE1708" localSheetId="6">#N/A</definedName>
    <definedName name="__________________TPE1708">#N/A</definedName>
    <definedName name="__________________TPE1710" localSheetId="5">#N/A</definedName>
    <definedName name="__________________TPE1710" localSheetId="6">#N/A</definedName>
    <definedName name="__________________TPE1710">#N/A</definedName>
    <definedName name="__________________TPE1735" localSheetId="5">#N/A</definedName>
    <definedName name="__________________TPE1735" localSheetId="6">#N/A</definedName>
    <definedName name="__________________TPE1735">#N/A</definedName>
    <definedName name="__________________TPE1763" localSheetId="5">#N/A</definedName>
    <definedName name="__________________TPE1763" localSheetId="6">#N/A</definedName>
    <definedName name="__________________TPE1763">#N/A</definedName>
    <definedName name="__________________TPE1790" localSheetId="5">#N/A</definedName>
    <definedName name="__________________TPE1790" localSheetId="6">#N/A</definedName>
    <definedName name="__________________TPE1790">#N/A</definedName>
    <definedName name="__________________TPF12" localSheetId="5">[2]BASE!$D$217</definedName>
    <definedName name="__________________TPF12" localSheetId="6">[2]BASE!$D$217</definedName>
    <definedName name="__________________TPF12">[2]BASE!$D$217</definedName>
    <definedName name="__________________TUZ22" localSheetId="5">'[2]BASE ORIGINAL'!#REF!</definedName>
    <definedName name="__________________TUZ22" localSheetId="6">'[2]BASE ORIGINAL'!#REF!</definedName>
    <definedName name="__________________TUZ22">'[2]BASE ORIGINAL'!#REF!</definedName>
    <definedName name="__________________TUZ36" localSheetId="5">'[2]BASE ORIGINAL'!#REF!</definedName>
    <definedName name="__________________TUZ36" localSheetId="6">'[2]BASE ORIGINAL'!#REF!</definedName>
    <definedName name="__________________TUZ36">'[2]BASE ORIGINAL'!#REF!</definedName>
    <definedName name="__________________TZ2110" localSheetId="5">[2]BASE!$D$79</definedName>
    <definedName name="__________________TZ2110" localSheetId="6">[2]BASE!$D$79</definedName>
    <definedName name="__________________TZ2110">[2]BASE!$D$79</definedName>
    <definedName name="__________________TZ214" localSheetId="5">#N/A</definedName>
    <definedName name="__________________TZ214" localSheetId="6">#N/A</definedName>
    <definedName name="__________________TZ214">#N/A</definedName>
    <definedName name="__________________TZ216" localSheetId="5">#N/A</definedName>
    <definedName name="__________________TZ216" localSheetId="6">#N/A</definedName>
    <definedName name="__________________TZ216">#N/A</definedName>
    <definedName name="__________________TZ268">[4]BASE!$D$85</definedName>
    <definedName name="__________________TZ323" localSheetId="5">'[2]BASE ORIGINAL'!#REF!</definedName>
    <definedName name="__________________TZ323" localSheetId="6">'[2]BASE ORIGINAL'!#REF!</definedName>
    <definedName name="__________________TZ323">'[2]BASE ORIGINAL'!#REF!</definedName>
    <definedName name="__________________TZ324" localSheetId="5">'[2]BASE ORIGINAL'!#REF!</definedName>
    <definedName name="__________________TZ324" localSheetId="6">'[2]BASE ORIGINAL'!#REF!</definedName>
    <definedName name="__________________TZ324">'[2]BASE ORIGINAL'!#REF!</definedName>
    <definedName name="__________________TZ32510" localSheetId="5">#N/A</definedName>
    <definedName name="__________________TZ32510" localSheetId="6">#N/A</definedName>
    <definedName name="__________________TZ32510">#N/A</definedName>
    <definedName name="_________________ADH12" localSheetId="5">[2]BASE!$D$218</definedName>
    <definedName name="_________________ADH12" localSheetId="6">[2]BASE!$D$218</definedName>
    <definedName name="_________________ADH12">[2]BASE!$D$218</definedName>
    <definedName name="_________________ADM12" localSheetId="5">[2]BASE!$D$219</definedName>
    <definedName name="_________________ADM12" localSheetId="6">[2]BASE!$D$219</definedName>
    <definedName name="_________________ADM12">[2]BASE!$D$219</definedName>
    <definedName name="_________________ADM4" localSheetId="5">[2]BASE!$D$120</definedName>
    <definedName name="_________________ADM4" localSheetId="6">[2]BASE!$D$120</definedName>
    <definedName name="_________________ADM4">[2]BASE!$D$120</definedName>
    <definedName name="_________________AIU1" localSheetId="5">#REF!</definedName>
    <definedName name="_________________AIU1" localSheetId="6">#REF!</definedName>
    <definedName name="_________________AIU1">#REF!</definedName>
    <definedName name="_________________AIU2">[3]BASE!$C$5</definedName>
    <definedName name="_________________AIU3">[11]BASE!$C$3</definedName>
    <definedName name="_________________BAZ10" localSheetId="5">[2]BASE!$D$270</definedName>
    <definedName name="_________________BAZ10" localSheetId="6">[2]BASE!$D$270</definedName>
    <definedName name="_________________BAZ10">[2]BASE!$D$270</definedName>
    <definedName name="_________________BLO20" localSheetId="5">[2]BASE!$D$56</definedName>
    <definedName name="_________________BLO20" localSheetId="6">[2]BASE!$D$56</definedName>
    <definedName name="_________________BLO20">[2]BASE!$D$56</definedName>
    <definedName name="_________________CAN28" localSheetId="5">[2]BASE!$D$315</definedName>
    <definedName name="_________________CAN28" localSheetId="6">[2]BASE!$D$315</definedName>
    <definedName name="_________________CAN28">[2]BASE!$D$315</definedName>
    <definedName name="_________________Cod1" localSheetId="5">#REF!</definedName>
    <definedName name="_________________Cod1" localSheetId="6">#REF!</definedName>
    <definedName name="_________________Cod1">#REF!</definedName>
    <definedName name="_________________CUA44" localSheetId="5">[2]BASE!$D$253</definedName>
    <definedName name="_________________CUA44" localSheetId="6">[2]BASE!$D$253</definedName>
    <definedName name="_________________CUA44">[2]BASE!$D$253</definedName>
    <definedName name="_________________LA124" localSheetId="5">[2]BASE!$D$64</definedName>
    <definedName name="_________________LA124" localSheetId="6">[2]BASE!$D$64</definedName>
    <definedName name="_________________LA124">[2]BASE!$D$64</definedName>
    <definedName name="_________________LAC18">[4]BASE!$D$252</definedName>
    <definedName name="_________________Po2">[5]REAJUSTESACTA1PROVI!#REF!</definedName>
    <definedName name="_________________R84JH">[4]BASE!$D$172</definedName>
    <definedName name="_________________REP43">[6]BASE!$D$136</definedName>
    <definedName name="_________________TEP44" localSheetId="5">#N/A</definedName>
    <definedName name="_________________TEP44" localSheetId="6">#N/A</definedName>
    <definedName name="_________________TEP44">#N/A</definedName>
    <definedName name="_________________TPE1132" localSheetId="5">#N/A</definedName>
    <definedName name="_________________TPE1132" localSheetId="6">#N/A</definedName>
    <definedName name="_________________TPE1132">#N/A</definedName>
    <definedName name="_________________TPE12" localSheetId="5">#REF!</definedName>
    <definedName name="_________________TPE12" localSheetId="6">#REF!</definedName>
    <definedName name="_________________TPE12">#REF!</definedName>
    <definedName name="_________________TPE1331" localSheetId="5">#N/A</definedName>
    <definedName name="_________________TPE1331" localSheetId="6">#N/A</definedName>
    <definedName name="_________________TPE1331">#N/A</definedName>
    <definedName name="_________________TPE1702" localSheetId="5">#N/A</definedName>
    <definedName name="_________________TPE1702" localSheetId="6">#N/A</definedName>
    <definedName name="_________________TPE1702">#N/A</definedName>
    <definedName name="_________________TPE1703" localSheetId="5">#N/A</definedName>
    <definedName name="_________________TPE1703" localSheetId="6">#N/A</definedName>
    <definedName name="_________________TPE1703">#N/A</definedName>
    <definedName name="_________________TPE1704" localSheetId="5">#N/A</definedName>
    <definedName name="_________________TPE1704" localSheetId="6">#N/A</definedName>
    <definedName name="_________________TPE1704">#N/A</definedName>
    <definedName name="_________________TPE1706" localSheetId="5">#N/A</definedName>
    <definedName name="_________________TPE1706" localSheetId="6">#N/A</definedName>
    <definedName name="_________________TPE1706">#N/A</definedName>
    <definedName name="_________________TPE1708" localSheetId="5">#N/A</definedName>
    <definedName name="_________________TPE1708" localSheetId="6">#N/A</definedName>
    <definedName name="_________________TPE1708">#N/A</definedName>
    <definedName name="_________________TPE1710" localSheetId="5">#N/A</definedName>
    <definedName name="_________________TPE1710" localSheetId="6">#N/A</definedName>
    <definedName name="_________________TPE1710">#N/A</definedName>
    <definedName name="_________________TPE1735" localSheetId="5">#N/A</definedName>
    <definedName name="_________________TPE1735" localSheetId="6">#N/A</definedName>
    <definedName name="_________________TPE1735">#N/A</definedName>
    <definedName name="_________________TPE1763" localSheetId="5">#N/A</definedName>
    <definedName name="_________________TPE1763" localSheetId="6">#N/A</definedName>
    <definedName name="_________________TPE1763">#N/A</definedName>
    <definedName name="_________________TPE1790" localSheetId="5">#N/A</definedName>
    <definedName name="_________________TPE1790" localSheetId="6">#N/A</definedName>
    <definedName name="_________________TPE1790">#N/A</definedName>
    <definedName name="_________________TPF12" localSheetId="5">[2]BASE!$D$217</definedName>
    <definedName name="_________________TPF12" localSheetId="6">[2]BASE!$D$217</definedName>
    <definedName name="_________________TPF12">[2]BASE!$D$217</definedName>
    <definedName name="_________________TUZ22" localSheetId="5">'[2]BASE ORIGINAL'!#REF!</definedName>
    <definedName name="_________________TUZ22" localSheetId="6">'[2]BASE ORIGINAL'!#REF!</definedName>
    <definedName name="_________________TUZ22">'[2]BASE ORIGINAL'!#REF!</definedName>
    <definedName name="_________________TUZ36" localSheetId="5">'[2]BASE ORIGINAL'!#REF!</definedName>
    <definedName name="_________________TUZ36" localSheetId="6">'[2]BASE ORIGINAL'!#REF!</definedName>
    <definedName name="_________________TUZ36">'[2]BASE ORIGINAL'!#REF!</definedName>
    <definedName name="_________________TZ2110" localSheetId="5">[2]BASE!$D$79</definedName>
    <definedName name="_________________TZ2110" localSheetId="6">[2]BASE!$D$79</definedName>
    <definedName name="_________________TZ2110">[2]BASE!$D$79</definedName>
    <definedName name="_________________TZ214" localSheetId="5">#N/A</definedName>
    <definedName name="_________________TZ214" localSheetId="6">#N/A</definedName>
    <definedName name="_________________TZ214">#N/A</definedName>
    <definedName name="_________________TZ216" localSheetId="5">#N/A</definedName>
    <definedName name="_________________TZ216" localSheetId="6">#N/A</definedName>
    <definedName name="_________________TZ216">#N/A</definedName>
    <definedName name="_________________TZ268">[4]BASE!$D$85</definedName>
    <definedName name="_________________TZ323" localSheetId="5">'[2]BASE ORIGINAL'!#REF!</definedName>
    <definedName name="_________________TZ323" localSheetId="6">'[2]BASE ORIGINAL'!#REF!</definedName>
    <definedName name="_________________TZ323">'[2]BASE ORIGINAL'!#REF!</definedName>
    <definedName name="_________________TZ324" localSheetId="5">'[2]BASE ORIGINAL'!#REF!</definedName>
    <definedName name="_________________TZ324" localSheetId="6">'[2]BASE ORIGINAL'!#REF!</definedName>
    <definedName name="_________________TZ324">'[2]BASE ORIGINAL'!#REF!</definedName>
    <definedName name="_________________TZ32510" localSheetId="5">#N/A</definedName>
    <definedName name="_________________TZ32510" localSheetId="6">#N/A</definedName>
    <definedName name="_________________TZ32510">#N/A</definedName>
    <definedName name="________________ADH12" localSheetId="5">[2]BASE!$D$218</definedName>
    <definedName name="________________ADH12" localSheetId="6">[2]BASE!$D$218</definedName>
    <definedName name="________________ADH12">[2]BASE!$D$218</definedName>
    <definedName name="________________ADM12" localSheetId="5">[2]BASE!$D$219</definedName>
    <definedName name="________________ADM12" localSheetId="6">[2]BASE!$D$219</definedName>
    <definedName name="________________ADM12">[2]BASE!$D$219</definedName>
    <definedName name="________________ADM4" localSheetId="5">[2]BASE!$D$120</definedName>
    <definedName name="________________ADM4" localSheetId="6">[2]BASE!$D$120</definedName>
    <definedName name="________________ADM4">[2]BASE!$D$120</definedName>
    <definedName name="________________AIU1" localSheetId="5">#REF!</definedName>
    <definedName name="________________AIU1" localSheetId="6">#REF!</definedName>
    <definedName name="________________AIU1">#REF!</definedName>
    <definedName name="________________AIU2">[3]BASE!$C$5</definedName>
    <definedName name="________________AIU3">[11]BASE!$C$3</definedName>
    <definedName name="________________BAZ10" localSheetId="5">[2]BASE!$D$270</definedName>
    <definedName name="________________BAZ10" localSheetId="6">[2]BASE!$D$270</definedName>
    <definedName name="________________BAZ10">[2]BASE!$D$270</definedName>
    <definedName name="________________BLO20" localSheetId="5">[2]BASE!$D$56</definedName>
    <definedName name="________________BLO20" localSheetId="6">[2]BASE!$D$56</definedName>
    <definedName name="________________BLO20">[2]BASE!$D$56</definedName>
    <definedName name="________________CAN28" localSheetId="5">[2]BASE!$D$315</definedName>
    <definedName name="________________CAN28" localSheetId="6">[2]BASE!$D$315</definedName>
    <definedName name="________________CAN28">[2]BASE!$D$315</definedName>
    <definedName name="________________Cod1" localSheetId="5">#REF!</definedName>
    <definedName name="________________Cod1" localSheetId="6">#REF!</definedName>
    <definedName name="________________Cod1">#REF!</definedName>
    <definedName name="________________CUA44" localSheetId="5">[2]BASE!$D$253</definedName>
    <definedName name="________________CUA44" localSheetId="6">[2]BASE!$D$253</definedName>
    <definedName name="________________CUA44">[2]BASE!$D$253</definedName>
    <definedName name="________________LA124" localSheetId="5">[2]BASE!$D$64</definedName>
    <definedName name="________________LA124" localSheetId="6">[2]BASE!$D$64</definedName>
    <definedName name="________________LA124">[2]BASE!$D$64</definedName>
    <definedName name="________________LAC18">[4]BASE!$D$252</definedName>
    <definedName name="________________Po2">[5]REAJUSTESACTA1PROVI!#REF!</definedName>
    <definedName name="________________R84JH">[4]BASE!$D$172</definedName>
    <definedName name="________________REP43">[6]BASE!$D$136</definedName>
    <definedName name="________________TEP44" localSheetId="5">#N/A</definedName>
    <definedName name="________________TEP44" localSheetId="6">#N/A</definedName>
    <definedName name="________________TEP44">#N/A</definedName>
    <definedName name="________________TPE1132" localSheetId="5">#N/A</definedName>
    <definedName name="________________TPE1132" localSheetId="6">#N/A</definedName>
    <definedName name="________________TPE1132">#N/A</definedName>
    <definedName name="________________TPE12" localSheetId="5">#REF!</definedName>
    <definedName name="________________TPE12" localSheetId="6">#REF!</definedName>
    <definedName name="________________TPE12">#REF!</definedName>
    <definedName name="________________TPE1331" localSheetId="5">#N/A</definedName>
    <definedName name="________________TPE1331" localSheetId="6">#N/A</definedName>
    <definedName name="________________TPE1331">#N/A</definedName>
    <definedName name="________________TPE1702" localSheetId="5">#N/A</definedName>
    <definedName name="________________TPE1702" localSheetId="6">#N/A</definedName>
    <definedName name="________________TPE1702">#N/A</definedName>
    <definedName name="________________TPE1703" localSheetId="5">#N/A</definedName>
    <definedName name="________________TPE1703" localSheetId="6">#N/A</definedName>
    <definedName name="________________TPE1703">#N/A</definedName>
    <definedName name="________________TPE1704" localSheetId="5">#N/A</definedName>
    <definedName name="________________TPE1704" localSheetId="6">#N/A</definedName>
    <definedName name="________________TPE1704">#N/A</definedName>
    <definedName name="________________TPE1706" localSheetId="5">#N/A</definedName>
    <definedName name="________________TPE1706" localSheetId="6">#N/A</definedName>
    <definedName name="________________TPE1706">#N/A</definedName>
    <definedName name="________________TPE1708" localSheetId="5">#N/A</definedName>
    <definedName name="________________TPE1708" localSheetId="6">#N/A</definedName>
    <definedName name="________________TPE1708">#N/A</definedName>
    <definedName name="________________TPE1710" localSheetId="5">#N/A</definedName>
    <definedName name="________________TPE1710" localSheetId="6">#N/A</definedName>
    <definedName name="________________TPE1710">#N/A</definedName>
    <definedName name="________________TPE1735" localSheetId="5">#N/A</definedName>
    <definedName name="________________TPE1735" localSheetId="6">#N/A</definedName>
    <definedName name="________________TPE1735">#N/A</definedName>
    <definedName name="________________TPE1763" localSheetId="5">#N/A</definedName>
    <definedName name="________________TPE1763" localSheetId="6">#N/A</definedName>
    <definedName name="________________TPE1763">#N/A</definedName>
    <definedName name="________________TPE1790" localSheetId="5">#N/A</definedName>
    <definedName name="________________TPE1790" localSheetId="6">#N/A</definedName>
    <definedName name="________________TPE1790">#N/A</definedName>
    <definedName name="________________TPF12" localSheetId="5">[2]BASE!$D$217</definedName>
    <definedName name="________________TPF12" localSheetId="6">[2]BASE!$D$217</definedName>
    <definedName name="________________TPF12">[2]BASE!$D$217</definedName>
    <definedName name="________________TUZ22" localSheetId="5">'[2]BASE ORIGINAL'!#REF!</definedName>
    <definedName name="________________TUZ22" localSheetId="6">'[2]BASE ORIGINAL'!#REF!</definedName>
    <definedName name="________________TUZ22">'[2]BASE ORIGINAL'!#REF!</definedName>
    <definedName name="________________TUZ36" localSheetId="5">'[2]BASE ORIGINAL'!#REF!</definedName>
    <definedName name="________________TUZ36" localSheetId="6">'[2]BASE ORIGINAL'!#REF!</definedName>
    <definedName name="________________TUZ36">'[2]BASE ORIGINAL'!#REF!</definedName>
    <definedName name="________________TZ2110" localSheetId="5">[2]BASE!$D$79</definedName>
    <definedName name="________________TZ2110" localSheetId="6">[2]BASE!$D$79</definedName>
    <definedName name="________________TZ2110">[2]BASE!$D$79</definedName>
    <definedName name="________________TZ214" localSheetId="5">#N/A</definedName>
    <definedName name="________________TZ214" localSheetId="6">#N/A</definedName>
    <definedName name="________________TZ214">#N/A</definedName>
    <definedName name="________________TZ216" localSheetId="5">#N/A</definedName>
    <definedName name="________________TZ216" localSheetId="6">#N/A</definedName>
    <definedName name="________________TZ216">#N/A</definedName>
    <definedName name="________________TZ268">[4]BASE!$D$85</definedName>
    <definedName name="________________TZ323" localSheetId="5">'[2]BASE ORIGINAL'!#REF!</definedName>
    <definedName name="________________TZ323" localSheetId="6">'[2]BASE ORIGINAL'!#REF!</definedName>
    <definedName name="________________TZ323">'[2]BASE ORIGINAL'!#REF!</definedName>
    <definedName name="________________TZ324" localSheetId="5">'[2]BASE ORIGINAL'!#REF!</definedName>
    <definedName name="________________TZ324" localSheetId="6">'[2]BASE ORIGINAL'!#REF!</definedName>
    <definedName name="________________TZ324">'[2]BASE ORIGINAL'!#REF!</definedName>
    <definedName name="________________TZ32510" localSheetId="5">#N/A</definedName>
    <definedName name="________________TZ32510" localSheetId="6">#N/A</definedName>
    <definedName name="________________TZ32510">#N/A</definedName>
    <definedName name="_______________ADH12" localSheetId="5">[2]BASE!$D$218</definedName>
    <definedName name="_______________ADH12" localSheetId="6">[2]BASE!$D$218</definedName>
    <definedName name="_______________ADH12">[2]BASE!$D$218</definedName>
    <definedName name="_______________ADM12" localSheetId="5">[2]BASE!$D$219</definedName>
    <definedName name="_______________ADM12" localSheetId="6">[2]BASE!$D$219</definedName>
    <definedName name="_______________ADM12">[2]BASE!$D$219</definedName>
    <definedName name="_______________ADM4" localSheetId="5">[2]BASE!$D$120</definedName>
    <definedName name="_______________ADM4" localSheetId="6">[2]BASE!$D$120</definedName>
    <definedName name="_______________ADM4">[2]BASE!$D$120</definedName>
    <definedName name="_______________AIU1" localSheetId="5">#REF!</definedName>
    <definedName name="_______________AIU1" localSheetId="6">#REF!</definedName>
    <definedName name="_______________AIU1">#REF!</definedName>
    <definedName name="_______________AIU2">[3]BASE!$C$5</definedName>
    <definedName name="_______________AIU3">[11]BASE!$C$3</definedName>
    <definedName name="_______________BAZ10" localSheetId="5">[2]BASE!$D$270</definedName>
    <definedName name="_______________BAZ10" localSheetId="6">[2]BASE!$D$270</definedName>
    <definedName name="_______________BAZ10">[2]BASE!$D$270</definedName>
    <definedName name="_______________BLO20" localSheetId="5">[2]BASE!$D$56</definedName>
    <definedName name="_______________BLO20" localSheetId="6">[2]BASE!$D$56</definedName>
    <definedName name="_______________BLO20">[2]BASE!$D$56</definedName>
    <definedName name="_______________CAN28" localSheetId="5">[2]BASE!$D$315</definedName>
    <definedName name="_______________CAN28" localSheetId="6">[2]BASE!$D$315</definedName>
    <definedName name="_______________CAN28">[2]BASE!$D$315</definedName>
    <definedName name="_______________Cod1" localSheetId="5">#REF!</definedName>
    <definedName name="_______________Cod1" localSheetId="6">#REF!</definedName>
    <definedName name="_______________Cod1">#REF!</definedName>
    <definedName name="_______________CUA44" localSheetId="5">[2]BASE!$D$253</definedName>
    <definedName name="_______________CUA44" localSheetId="6">[2]BASE!$D$253</definedName>
    <definedName name="_______________CUA44">[2]BASE!$D$253</definedName>
    <definedName name="_______________LA124" localSheetId="5">[2]BASE!$D$64</definedName>
    <definedName name="_______________LA124" localSheetId="6">[2]BASE!$D$64</definedName>
    <definedName name="_______________LA124">[2]BASE!$D$64</definedName>
    <definedName name="_______________LAC18">[4]BASE!$D$252</definedName>
    <definedName name="_______________Po2">[5]REAJUSTESACTA1PROVI!#REF!</definedName>
    <definedName name="_______________R84JH">[4]BASE!$D$172</definedName>
    <definedName name="_______________REP43">[6]BASE!$D$136</definedName>
    <definedName name="_______________TEP44" localSheetId="5">#N/A</definedName>
    <definedName name="_______________TEP44" localSheetId="6">#N/A</definedName>
    <definedName name="_______________TEP44">#N/A</definedName>
    <definedName name="_______________TPE1132" localSheetId="5">#N/A</definedName>
    <definedName name="_______________TPE1132" localSheetId="6">#N/A</definedName>
    <definedName name="_______________TPE1132">#N/A</definedName>
    <definedName name="_______________TPE12" localSheetId="5">#REF!</definedName>
    <definedName name="_______________TPE12" localSheetId="6">#REF!</definedName>
    <definedName name="_______________TPE12">#REF!</definedName>
    <definedName name="_______________TPE1331" localSheetId="5">#N/A</definedName>
    <definedName name="_______________TPE1331" localSheetId="6">#N/A</definedName>
    <definedName name="_______________TPE1331">#N/A</definedName>
    <definedName name="_______________TPE1702" localSheetId="5">#N/A</definedName>
    <definedName name="_______________TPE1702" localSheetId="6">#N/A</definedName>
    <definedName name="_______________TPE1702">#N/A</definedName>
    <definedName name="_______________TPE1703" localSheetId="5">#N/A</definedName>
    <definedName name="_______________TPE1703" localSheetId="6">#N/A</definedName>
    <definedName name="_______________TPE1703">#N/A</definedName>
    <definedName name="_______________TPE1704" localSheetId="5">#N/A</definedName>
    <definedName name="_______________TPE1704" localSheetId="6">#N/A</definedName>
    <definedName name="_______________TPE1704">#N/A</definedName>
    <definedName name="_______________TPE1706" localSheetId="5">#N/A</definedName>
    <definedName name="_______________TPE1706" localSheetId="6">#N/A</definedName>
    <definedName name="_______________TPE1706">#N/A</definedName>
    <definedName name="_______________TPE1708" localSheetId="5">#N/A</definedName>
    <definedName name="_______________TPE1708" localSheetId="6">#N/A</definedName>
    <definedName name="_______________TPE1708">#N/A</definedName>
    <definedName name="_______________TPE1710" localSheetId="5">#N/A</definedName>
    <definedName name="_______________TPE1710" localSheetId="6">#N/A</definedName>
    <definedName name="_______________TPE1710">#N/A</definedName>
    <definedName name="_______________TPE1735" localSheetId="5">#N/A</definedName>
    <definedName name="_______________TPE1735" localSheetId="6">#N/A</definedName>
    <definedName name="_______________TPE1735">#N/A</definedName>
    <definedName name="_______________TPE1763" localSheetId="5">#N/A</definedName>
    <definedName name="_______________TPE1763" localSheetId="6">#N/A</definedName>
    <definedName name="_______________TPE1763">#N/A</definedName>
    <definedName name="_______________TPE1790" localSheetId="5">#N/A</definedName>
    <definedName name="_______________TPE1790" localSheetId="6">#N/A</definedName>
    <definedName name="_______________TPE1790">#N/A</definedName>
    <definedName name="_______________TPF12" localSheetId="5">[2]BASE!$D$217</definedName>
    <definedName name="_______________TPF12" localSheetId="6">[2]BASE!$D$217</definedName>
    <definedName name="_______________TPF12">[2]BASE!$D$217</definedName>
    <definedName name="_______________TUZ22" localSheetId="5">'[2]BASE ORIGINAL'!#REF!</definedName>
    <definedName name="_______________TUZ22" localSheetId="6">'[2]BASE ORIGINAL'!#REF!</definedName>
    <definedName name="_______________TUZ22">'[2]BASE ORIGINAL'!#REF!</definedName>
    <definedName name="_______________TUZ36" localSheetId="5">'[2]BASE ORIGINAL'!#REF!</definedName>
    <definedName name="_______________TUZ36" localSheetId="6">'[2]BASE ORIGINAL'!#REF!</definedName>
    <definedName name="_______________TUZ36">'[2]BASE ORIGINAL'!#REF!</definedName>
    <definedName name="_______________TZ2110" localSheetId="5">[2]BASE!$D$79</definedName>
    <definedName name="_______________TZ2110" localSheetId="6">[2]BASE!$D$79</definedName>
    <definedName name="_______________TZ2110">[2]BASE!$D$79</definedName>
    <definedName name="_______________TZ214" localSheetId="5">#N/A</definedName>
    <definedName name="_______________TZ214" localSheetId="6">#N/A</definedName>
    <definedName name="_______________TZ214">#N/A</definedName>
    <definedName name="_______________TZ216" localSheetId="5">#N/A</definedName>
    <definedName name="_______________TZ216" localSheetId="6">#N/A</definedName>
    <definedName name="_______________TZ216">#N/A</definedName>
    <definedName name="_______________TZ268">[4]BASE!$D$85</definedName>
    <definedName name="_______________TZ323" localSheetId="5">'[2]BASE ORIGINAL'!#REF!</definedName>
    <definedName name="_______________TZ323" localSheetId="6">'[2]BASE ORIGINAL'!#REF!</definedName>
    <definedName name="_______________TZ323">'[2]BASE ORIGINAL'!#REF!</definedName>
    <definedName name="_______________TZ324" localSheetId="5">'[2]BASE ORIGINAL'!#REF!</definedName>
    <definedName name="_______________TZ324" localSheetId="6">'[2]BASE ORIGINAL'!#REF!</definedName>
    <definedName name="_______________TZ324">'[2]BASE ORIGINAL'!#REF!</definedName>
    <definedName name="_______________TZ32510" localSheetId="5">#N/A</definedName>
    <definedName name="_______________TZ32510" localSheetId="6">#N/A</definedName>
    <definedName name="_______________TZ32510">#N/A</definedName>
    <definedName name="______________ADH12" localSheetId="5">[2]BASE!$D$218</definedName>
    <definedName name="______________ADH12" localSheetId="6">[2]BASE!$D$218</definedName>
    <definedName name="______________ADH12">[2]BASE!$D$218</definedName>
    <definedName name="______________ADM12" localSheetId="5">[2]BASE!$D$219</definedName>
    <definedName name="______________ADM12" localSheetId="6">[2]BASE!$D$219</definedName>
    <definedName name="______________ADM12">[2]BASE!$D$219</definedName>
    <definedName name="______________ADM4" localSheetId="5">[2]BASE!$D$120</definedName>
    <definedName name="______________ADM4" localSheetId="6">[2]BASE!$D$120</definedName>
    <definedName name="______________ADM4">[2]BASE!$D$120</definedName>
    <definedName name="______________AIU1" localSheetId="5">#REF!</definedName>
    <definedName name="______________AIU1" localSheetId="6">#REF!</definedName>
    <definedName name="______________AIU1">#REF!</definedName>
    <definedName name="______________AIU2">[3]BASE!$C$5</definedName>
    <definedName name="______________AIU3">[11]BASE!$C$3</definedName>
    <definedName name="______________BAZ10" localSheetId="5">[2]BASE!$D$270</definedName>
    <definedName name="______________BAZ10" localSheetId="6">[2]BASE!$D$270</definedName>
    <definedName name="______________BAZ10">[2]BASE!$D$270</definedName>
    <definedName name="______________BLO20" localSheetId="5">[2]BASE!$D$56</definedName>
    <definedName name="______________BLO20" localSheetId="6">[2]BASE!$D$56</definedName>
    <definedName name="______________BLO20">[2]BASE!$D$56</definedName>
    <definedName name="______________CAN28" localSheetId="5">[2]BASE!$D$315</definedName>
    <definedName name="______________CAN28" localSheetId="6">[2]BASE!$D$315</definedName>
    <definedName name="______________CAN28">[2]BASE!$D$315</definedName>
    <definedName name="______________Cod1" localSheetId="5">#REF!</definedName>
    <definedName name="______________Cod1" localSheetId="6">#REF!</definedName>
    <definedName name="______________Cod1">#REF!</definedName>
    <definedName name="______________CUA44" localSheetId="5">[2]BASE!$D$253</definedName>
    <definedName name="______________CUA44" localSheetId="6">[2]BASE!$D$253</definedName>
    <definedName name="______________CUA44">[2]BASE!$D$253</definedName>
    <definedName name="______________LA124" localSheetId="5">[2]BASE!$D$64</definedName>
    <definedName name="______________LA124" localSheetId="6">[2]BASE!$D$64</definedName>
    <definedName name="______________LA124">[2]BASE!$D$64</definedName>
    <definedName name="______________LAC18">[4]BASE!$D$252</definedName>
    <definedName name="______________Po2">[5]REAJUSTESACTA1PROVI!#REF!</definedName>
    <definedName name="______________R84JH">[4]BASE!$D$172</definedName>
    <definedName name="______________REP43">[6]BASE!$D$136</definedName>
    <definedName name="______________TEP44" localSheetId="5">#N/A</definedName>
    <definedName name="______________TEP44" localSheetId="6">#N/A</definedName>
    <definedName name="______________TEP44">#N/A</definedName>
    <definedName name="______________TPE1132" localSheetId="5">#N/A</definedName>
    <definedName name="______________TPE1132" localSheetId="6">#N/A</definedName>
    <definedName name="______________TPE1132">#N/A</definedName>
    <definedName name="______________TPE12" localSheetId="5">#REF!</definedName>
    <definedName name="______________TPE12" localSheetId="6">#REF!</definedName>
    <definedName name="______________TPE12">#REF!</definedName>
    <definedName name="______________TPE1331" localSheetId="5">#N/A</definedName>
    <definedName name="______________TPE1331" localSheetId="6">#N/A</definedName>
    <definedName name="______________TPE1331">#N/A</definedName>
    <definedName name="______________TPE1702" localSheetId="5">#N/A</definedName>
    <definedName name="______________TPE1702" localSheetId="6">#N/A</definedName>
    <definedName name="______________TPE1702">#N/A</definedName>
    <definedName name="______________TPE1703" localSheetId="5">#N/A</definedName>
    <definedName name="______________TPE1703" localSheetId="6">#N/A</definedName>
    <definedName name="______________TPE1703">#N/A</definedName>
    <definedName name="______________TPE1704" localSheetId="5">#N/A</definedName>
    <definedName name="______________TPE1704" localSheetId="6">#N/A</definedName>
    <definedName name="______________TPE1704">#N/A</definedName>
    <definedName name="______________TPE1706" localSheetId="5">#N/A</definedName>
    <definedName name="______________TPE1706" localSheetId="6">#N/A</definedName>
    <definedName name="______________TPE1706">#N/A</definedName>
    <definedName name="______________TPE1708" localSheetId="5">#N/A</definedName>
    <definedName name="______________TPE1708" localSheetId="6">#N/A</definedName>
    <definedName name="______________TPE1708">#N/A</definedName>
    <definedName name="______________TPE1710" localSheetId="5">#N/A</definedName>
    <definedName name="______________TPE1710" localSheetId="6">#N/A</definedName>
    <definedName name="______________TPE1710">#N/A</definedName>
    <definedName name="______________TPE1735" localSheetId="5">#N/A</definedName>
    <definedName name="______________TPE1735" localSheetId="6">#N/A</definedName>
    <definedName name="______________TPE1735">#N/A</definedName>
    <definedName name="______________TPE1763" localSheetId="5">#N/A</definedName>
    <definedName name="______________TPE1763" localSheetId="6">#N/A</definedName>
    <definedName name="______________TPE1763">#N/A</definedName>
    <definedName name="______________TPE1790" localSheetId="5">#N/A</definedName>
    <definedName name="______________TPE1790" localSheetId="6">#N/A</definedName>
    <definedName name="______________TPE1790">#N/A</definedName>
    <definedName name="______________TPF12" localSheetId="5">[2]BASE!$D$217</definedName>
    <definedName name="______________TPF12" localSheetId="6">[2]BASE!$D$217</definedName>
    <definedName name="______________TPF12">[2]BASE!$D$217</definedName>
    <definedName name="______________TUZ22" localSheetId="5">'[2]BASE ORIGINAL'!#REF!</definedName>
    <definedName name="______________TUZ22" localSheetId="6">'[2]BASE ORIGINAL'!#REF!</definedName>
    <definedName name="______________TUZ22">'[2]BASE ORIGINAL'!#REF!</definedName>
    <definedName name="______________TUZ36" localSheetId="5">'[2]BASE ORIGINAL'!#REF!</definedName>
    <definedName name="______________TUZ36" localSheetId="6">'[2]BASE ORIGINAL'!#REF!</definedName>
    <definedName name="______________TUZ36">'[2]BASE ORIGINAL'!#REF!</definedName>
    <definedName name="______________TZ2110" localSheetId="5">[2]BASE!$D$79</definedName>
    <definedName name="______________TZ2110" localSheetId="6">[2]BASE!$D$79</definedName>
    <definedName name="______________TZ2110">[2]BASE!$D$79</definedName>
    <definedName name="______________TZ214" localSheetId="5">#N/A</definedName>
    <definedName name="______________TZ214" localSheetId="6">#N/A</definedName>
    <definedName name="______________TZ214">#N/A</definedName>
    <definedName name="______________TZ216" localSheetId="5">#N/A</definedName>
    <definedName name="______________TZ216" localSheetId="6">#N/A</definedName>
    <definedName name="______________TZ216">#N/A</definedName>
    <definedName name="______________TZ268">[4]BASE!$D$85</definedName>
    <definedName name="______________TZ323" localSheetId="5">'[2]BASE ORIGINAL'!#REF!</definedName>
    <definedName name="______________TZ323" localSheetId="6">'[2]BASE ORIGINAL'!#REF!</definedName>
    <definedName name="______________TZ323">'[2]BASE ORIGINAL'!#REF!</definedName>
    <definedName name="______________TZ324" localSheetId="5">'[2]BASE ORIGINAL'!#REF!</definedName>
    <definedName name="______________TZ324" localSheetId="6">'[2]BASE ORIGINAL'!#REF!</definedName>
    <definedName name="______________TZ324">'[2]BASE ORIGINAL'!#REF!</definedName>
    <definedName name="______________TZ32510" localSheetId="5">#N/A</definedName>
    <definedName name="______________TZ32510" localSheetId="6">#N/A</definedName>
    <definedName name="______________TZ32510">#N/A</definedName>
    <definedName name="_____________ADH12" localSheetId="5">[2]BASE!$D$218</definedName>
    <definedName name="_____________ADH12" localSheetId="6">[2]BASE!$D$218</definedName>
    <definedName name="_____________ADH12">[2]BASE!$D$218</definedName>
    <definedName name="_____________ADM12" localSheetId="5">[2]BASE!$D$219</definedName>
    <definedName name="_____________ADM12" localSheetId="6">[2]BASE!$D$219</definedName>
    <definedName name="_____________ADM12">[2]BASE!$D$219</definedName>
    <definedName name="_____________ADM4" localSheetId="5">[2]BASE!$D$120</definedName>
    <definedName name="_____________ADM4" localSheetId="6">[2]BASE!$D$120</definedName>
    <definedName name="_____________ADM4">[2]BASE!$D$120</definedName>
    <definedName name="_____________AIU1" localSheetId="5">#REF!</definedName>
    <definedName name="_____________AIU1" localSheetId="6">#REF!</definedName>
    <definedName name="_____________AIU1">#REF!</definedName>
    <definedName name="_____________AIU2">[3]BASE!$C$5</definedName>
    <definedName name="_____________AIU3">[12]BASE!$C$3</definedName>
    <definedName name="_____________BAZ10" localSheetId="5">[2]BASE!$D$270</definedName>
    <definedName name="_____________BAZ10" localSheetId="6">[2]BASE!$D$270</definedName>
    <definedName name="_____________BAZ10">[2]BASE!$D$270</definedName>
    <definedName name="_____________BLO20" localSheetId="5">[2]BASE!$D$56</definedName>
    <definedName name="_____________BLO20" localSheetId="6">[2]BASE!$D$56</definedName>
    <definedName name="_____________BLO20">[2]BASE!$D$56</definedName>
    <definedName name="_____________CAN28" localSheetId="5">[2]BASE!$D$315</definedName>
    <definedName name="_____________CAN28" localSheetId="6">[2]BASE!$D$315</definedName>
    <definedName name="_____________CAN28">[2]BASE!$D$315</definedName>
    <definedName name="_____________Cod1" localSheetId="5">#REF!</definedName>
    <definedName name="_____________Cod1" localSheetId="6">#REF!</definedName>
    <definedName name="_____________Cod1">#REF!</definedName>
    <definedName name="_____________CUA44" localSheetId="5">[2]BASE!$D$253</definedName>
    <definedName name="_____________CUA44" localSheetId="6">[2]BASE!$D$253</definedName>
    <definedName name="_____________CUA44">[2]BASE!$D$253</definedName>
    <definedName name="_____________LA124" localSheetId="5">[2]BASE!$D$64</definedName>
    <definedName name="_____________LA124" localSheetId="6">[2]BASE!$D$64</definedName>
    <definedName name="_____________LA124">[2]BASE!$D$64</definedName>
    <definedName name="_____________LAC18">[4]BASE!$D$252</definedName>
    <definedName name="_____________Po2">[5]REAJUSTESACTA1PROVI!#REF!</definedName>
    <definedName name="_____________R84JH">[4]BASE!$D$172</definedName>
    <definedName name="_____________REP43">[6]BASE!$D$136</definedName>
    <definedName name="_____________TEP44" localSheetId="5">#N/A</definedName>
    <definedName name="_____________TEP44" localSheetId="6">#N/A</definedName>
    <definedName name="_____________TEP44">#N/A</definedName>
    <definedName name="_____________TPE1132" localSheetId="5">#N/A</definedName>
    <definedName name="_____________TPE1132" localSheetId="6">#N/A</definedName>
    <definedName name="_____________TPE1132">#N/A</definedName>
    <definedName name="_____________TPE12" localSheetId="5">#REF!</definedName>
    <definedName name="_____________TPE12" localSheetId="6">#REF!</definedName>
    <definedName name="_____________TPE12">#REF!</definedName>
    <definedName name="_____________TPE1331" localSheetId="5">#N/A</definedName>
    <definedName name="_____________TPE1331" localSheetId="6">#N/A</definedName>
    <definedName name="_____________TPE1331">#N/A</definedName>
    <definedName name="_____________TPE1702" localSheetId="5">#N/A</definedName>
    <definedName name="_____________TPE1702" localSheetId="6">#N/A</definedName>
    <definedName name="_____________TPE1702">#N/A</definedName>
    <definedName name="_____________TPE1703" localSheetId="5">#N/A</definedName>
    <definedName name="_____________TPE1703" localSheetId="6">#N/A</definedName>
    <definedName name="_____________TPE1703">#N/A</definedName>
    <definedName name="_____________TPE1704" localSheetId="5">#N/A</definedName>
    <definedName name="_____________TPE1704" localSheetId="6">#N/A</definedName>
    <definedName name="_____________TPE1704">#N/A</definedName>
    <definedName name="_____________TPE1706" localSheetId="5">#N/A</definedName>
    <definedName name="_____________TPE1706" localSheetId="6">#N/A</definedName>
    <definedName name="_____________TPE1706">#N/A</definedName>
    <definedName name="_____________TPE1708" localSheetId="5">#N/A</definedName>
    <definedName name="_____________TPE1708" localSheetId="6">#N/A</definedName>
    <definedName name="_____________TPE1708">#N/A</definedName>
    <definedName name="_____________TPE1710" localSheetId="5">#N/A</definedName>
    <definedName name="_____________TPE1710" localSheetId="6">#N/A</definedName>
    <definedName name="_____________TPE1710">#N/A</definedName>
    <definedName name="_____________TPE1735" localSheetId="5">#N/A</definedName>
    <definedName name="_____________TPE1735" localSheetId="6">#N/A</definedName>
    <definedName name="_____________TPE1735">#N/A</definedName>
    <definedName name="_____________TPE1763" localSheetId="5">#N/A</definedName>
    <definedName name="_____________TPE1763" localSheetId="6">#N/A</definedName>
    <definedName name="_____________TPE1763">#N/A</definedName>
    <definedName name="_____________TPE1790" localSheetId="5">#N/A</definedName>
    <definedName name="_____________TPE1790" localSheetId="6">#N/A</definedName>
    <definedName name="_____________TPE1790">#N/A</definedName>
    <definedName name="_____________TPF12" localSheetId="5">[2]BASE!$D$217</definedName>
    <definedName name="_____________TPF12" localSheetId="6">[2]BASE!$D$217</definedName>
    <definedName name="_____________TPF12">[2]BASE!$D$217</definedName>
    <definedName name="_____________TUZ22" localSheetId="5">'[2]BASE ORIGINAL'!#REF!</definedName>
    <definedName name="_____________TUZ22" localSheetId="6">'[2]BASE ORIGINAL'!#REF!</definedName>
    <definedName name="_____________TUZ22">'[2]BASE ORIGINAL'!#REF!</definedName>
    <definedName name="_____________TUZ36" localSheetId="5">'[2]BASE ORIGINAL'!#REF!</definedName>
    <definedName name="_____________TUZ36" localSheetId="6">'[2]BASE ORIGINAL'!#REF!</definedName>
    <definedName name="_____________TUZ36">'[2]BASE ORIGINAL'!#REF!</definedName>
    <definedName name="_____________TZ2110" localSheetId="5">[2]BASE!$D$79</definedName>
    <definedName name="_____________TZ2110" localSheetId="6">[2]BASE!$D$79</definedName>
    <definedName name="_____________TZ2110">[2]BASE!$D$79</definedName>
    <definedName name="_____________TZ214" localSheetId="5">#N/A</definedName>
    <definedName name="_____________TZ214" localSheetId="6">#N/A</definedName>
    <definedName name="_____________TZ214">#N/A</definedName>
    <definedName name="_____________TZ216" localSheetId="5">#N/A</definedName>
    <definedName name="_____________TZ216" localSheetId="6">#N/A</definedName>
    <definedName name="_____________TZ216">#N/A</definedName>
    <definedName name="_____________TZ268">[4]BASE!$D$85</definedName>
    <definedName name="_____________TZ323" localSheetId="5">'[2]BASE ORIGINAL'!#REF!</definedName>
    <definedName name="_____________TZ323" localSheetId="6">'[2]BASE ORIGINAL'!#REF!</definedName>
    <definedName name="_____________TZ323">'[2]BASE ORIGINAL'!#REF!</definedName>
    <definedName name="_____________TZ324" localSheetId="5">'[2]BASE ORIGINAL'!#REF!</definedName>
    <definedName name="_____________TZ324" localSheetId="6">'[2]BASE ORIGINAL'!#REF!</definedName>
    <definedName name="_____________TZ324">'[2]BASE ORIGINAL'!#REF!</definedName>
    <definedName name="_____________TZ32510" localSheetId="5">#N/A</definedName>
    <definedName name="_____________TZ32510" localSheetId="6">#N/A</definedName>
    <definedName name="_____________TZ32510">#N/A</definedName>
    <definedName name="____________ADH12" localSheetId="5">[2]BASE!$D$218</definedName>
    <definedName name="____________ADH12" localSheetId="6">[2]BASE!$D$218</definedName>
    <definedName name="____________ADH12">[2]BASE!$D$218</definedName>
    <definedName name="____________ADM12" localSheetId="5">[2]BASE!$D$219</definedName>
    <definedName name="____________ADM12" localSheetId="6">[2]BASE!$D$219</definedName>
    <definedName name="____________ADM12">[2]BASE!$D$219</definedName>
    <definedName name="____________ADM4" localSheetId="5">[2]BASE!$D$120</definedName>
    <definedName name="____________ADM4" localSheetId="6">[2]BASE!$D$120</definedName>
    <definedName name="____________ADM4">[2]BASE!$D$120</definedName>
    <definedName name="____________AIU1" localSheetId="5">#REF!</definedName>
    <definedName name="____________AIU1" localSheetId="6">#REF!</definedName>
    <definedName name="____________AIU1">#REF!</definedName>
    <definedName name="____________AIU2">[3]BASE!$C$5</definedName>
    <definedName name="____________AIU3">[13]BASE!$C$3</definedName>
    <definedName name="____________BAZ10" localSheetId="5">[2]BASE!$D$270</definedName>
    <definedName name="____________BAZ10" localSheetId="6">[2]BASE!$D$270</definedName>
    <definedName name="____________BAZ10">[2]BASE!$D$270</definedName>
    <definedName name="____________BLO20" localSheetId="5">[2]BASE!$D$56</definedName>
    <definedName name="____________BLO20" localSheetId="6">[2]BASE!$D$56</definedName>
    <definedName name="____________BLO20">[2]BASE!$D$56</definedName>
    <definedName name="____________CAN28" localSheetId="5">[2]BASE!$D$315</definedName>
    <definedName name="____________CAN28" localSheetId="6">[2]BASE!$D$315</definedName>
    <definedName name="____________CAN28">[2]BASE!$D$315</definedName>
    <definedName name="____________Cod1" localSheetId="5">#REF!</definedName>
    <definedName name="____________Cod1" localSheetId="6">#REF!</definedName>
    <definedName name="____________Cod1">#REF!</definedName>
    <definedName name="____________CUA44" localSheetId="5">[2]BASE!$D$253</definedName>
    <definedName name="____________CUA44" localSheetId="6">[2]BASE!$D$253</definedName>
    <definedName name="____________CUA44">[2]BASE!$D$253</definedName>
    <definedName name="____________LA124" localSheetId="5">[2]BASE!$D$64</definedName>
    <definedName name="____________LA124" localSheetId="6">[2]BASE!$D$64</definedName>
    <definedName name="____________LA124">[2]BASE!$D$64</definedName>
    <definedName name="____________LAC18">[4]BASE!$D$252</definedName>
    <definedName name="____________Po2">[5]REAJUSTESACTA1PROVI!#REF!</definedName>
    <definedName name="____________R84JH">[4]BASE!$D$172</definedName>
    <definedName name="____________REP43">[6]BASE!$D$136</definedName>
    <definedName name="____________TEP44" localSheetId="5">#N/A</definedName>
    <definedName name="____________TEP44" localSheetId="6">#N/A</definedName>
    <definedName name="____________TEP44">#N/A</definedName>
    <definedName name="____________TPE1132" localSheetId="5">#N/A</definedName>
    <definedName name="____________TPE1132" localSheetId="6">#N/A</definedName>
    <definedName name="____________TPE1132">#N/A</definedName>
    <definedName name="____________TPE12" localSheetId="5">#REF!</definedName>
    <definedName name="____________TPE12" localSheetId="6">#REF!</definedName>
    <definedName name="____________TPE12">#REF!</definedName>
    <definedName name="____________TPE1331" localSheetId="5">#N/A</definedName>
    <definedName name="____________TPE1331" localSheetId="6">#N/A</definedName>
    <definedName name="____________TPE1331">#N/A</definedName>
    <definedName name="____________TPE1702" localSheetId="5">#N/A</definedName>
    <definedName name="____________TPE1702" localSheetId="6">#N/A</definedName>
    <definedName name="____________TPE1702">#N/A</definedName>
    <definedName name="____________TPE1703" localSheetId="5">#N/A</definedName>
    <definedName name="____________TPE1703" localSheetId="6">#N/A</definedName>
    <definedName name="____________TPE1703">#N/A</definedName>
    <definedName name="____________TPE1704" localSheetId="5">#N/A</definedName>
    <definedName name="____________TPE1704" localSheetId="6">#N/A</definedName>
    <definedName name="____________TPE1704">#N/A</definedName>
    <definedName name="____________TPE1706" localSheetId="5">#N/A</definedName>
    <definedName name="____________TPE1706" localSheetId="6">#N/A</definedName>
    <definedName name="____________TPE1706">#N/A</definedName>
    <definedName name="____________TPE1708" localSheetId="5">#N/A</definedName>
    <definedName name="____________TPE1708" localSheetId="6">#N/A</definedName>
    <definedName name="____________TPE1708">#N/A</definedName>
    <definedName name="____________TPE1710" localSheetId="5">#N/A</definedName>
    <definedName name="____________TPE1710" localSheetId="6">#N/A</definedName>
    <definedName name="____________TPE1710">#N/A</definedName>
    <definedName name="____________TPE1735" localSheetId="5">#N/A</definedName>
    <definedName name="____________TPE1735" localSheetId="6">#N/A</definedName>
    <definedName name="____________TPE1735">#N/A</definedName>
    <definedName name="____________TPE1763" localSheetId="5">#N/A</definedName>
    <definedName name="____________TPE1763" localSheetId="6">#N/A</definedName>
    <definedName name="____________TPE1763">#N/A</definedName>
    <definedName name="____________TPE1790" localSheetId="5">#N/A</definedName>
    <definedName name="____________TPE1790" localSheetId="6">#N/A</definedName>
    <definedName name="____________TPE1790">#N/A</definedName>
    <definedName name="____________TPF12" localSheetId="5">[2]BASE!$D$217</definedName>
    <definedName name="____________TPF12" localSheetId="6">[2]BASE!$D$217</definedName>
    <definedName name="____________TPF12">[2]BASE!$D$217</definedName>
    <definedName name="____________TUZ22" localSheetId="5">'[2]BASE ORIGINAL'!#REF!</definedName>
    <definedName name="____________TUZ22" localSheetId="6">'[2]BASE ORIGINAL'!#REF!</definedName>
    <definedName name="____________TUZ22">'[2]BASE ORIGINAL'!#REF!</definedName>
    <definedName name="____________TUZ36" localSheetId="5">'[2]BASE ORIGINAL'!#REF!</definedName>
    <definedName name="____________TUZ36" localSheetId="6">'[2]BASE ORIGINAL'!#REF!</definedName>
    <definedName name="____________TUZ36">'[2]BASE ORIGINAL'!#REF!</definedName>
    <definedName name="____________TZ2110" localSheetId="5">[2]BASE!$D$79</definedName>
    <definedName name="____________TZ2110" localSheetId="6">[2]BASE!$D$79</definedName>
    <definedName name="____________TZ2110">[2]BASE!$D$79</definedName>
    <definedName name="____________TZ214" localSheetId="5">#N/A</definedName>
    <definedName name="____________TZ214" localSheetId="6">#N/A</definedName>
    <definedName name="____________TZ214">#N/A</definedName>
    <definedName name="____________TZ216" localSheetId="5">#N/A</definedName>
    <definedName name="____________TZ216" localSheetId="6">#N/A</definedName>
    <definedName name="____________TZ216">#N/A</definedName>
    <definedName name="____________TZ268">[4]BASE!$D$85</definedName>
    <definedName name="____________TZ323" localSheetId="5">'[2]BASE ORIGINAL'!#REF!</definedName>
    <definedName name="____________TZ323" localSheetId="6">'[2]BASE ORIGINAL'!#REF!</definedName>
    <definedName name="____________TZ323">'[2]BASE ORIGINAL'!#REF!</definedName>
    <definedName name="____________TZ324" localSheetId="5">'[2]BASE ORIGINAL'!#REF!</definedName>
    <definedName name="____________TZ324" localSheetId="6">'[2]BASE ORIGINAL'!#REF!</definedName>
    <definedName name="____________TZ324">'[2]BASE ORIGINAL'!#REF!</definedName>
    <definedName name="____________TZ32510" localSheetId="5">#N/A</definedName>
    <definedName name="____________TZ32510" localSheetId="6">#N/A</definedName>
    <definedName name="____________TZ32510">#N/A</definedName>
    <definedName name="___________ADH12" localSheetId="5">[2]BASE!$D$218</definedName>
    <definedName name="___________ADH12" localSheetId="6">[2]BASE!$D$218</definedName>
    <definedName name="___________ADH12">[2]BASE!$D$218</definedName>
    <definedName name="___________ADM12" localSheetId="5">[2]BASE!$D$219</definedName>
    <definedName name="___________ADM12" localSheetId="6">[2]BASE!$D$219</definedName>
    <definedName name="___________ADM12">[2]BASE!$D$219</definedName>
    <definedName name="___________ADM4" localSheetId="5">[2]BASE!$D$120</definedName>
    <definedName name="___________ADM4" localSheetId="6">[2]BASE!$D$120</definedName>
    <definedName name="___________ADM4">[2]BASE!$D$120</definedName>
    <definedName name="___________AIU1" localSheetId="5">#REF!</definedName>
    <definedName name="___________AIU1" localSheetId="6">#REF!</definedName>
    <definedName name="___________AIU1">#REF!</definedName>
    <definedName name="___________AIU2">[3]BASE!$C$5</definedName>
    <definedName name="___________AIU3">[11]BASE!$C$3</definedName>
    <definedName name="___________BAZ10" localSheetId="5">[2]BASE!$D$270</definedName>
    <definedName name="___________BAZ10" localSheetId="6">[2]BASE!$D$270</definedName>
    <definedName name="___________BAZ10">[2]BASE!$D$270</definedName>
    <definedName name="___________BLO20" localSheetId="5">[2]BASE!$D$56</definedName>
    <definedName name="___________BLO20" localSheetId="6">[2]BASE!$D$56</definedName>
    <definedName name="___________BLO20">[2]BASE!$D$56</definedName>
    <definedName name="___________CAN28" localSheetId="5">[2]BASE!$D$315</definedName>
    <definedName name="___________CAN28" localSheetId="6">[2]BASE!$D$315</definedName>
    <definedName name="___________CAN28">[2]BASE!$D$315</definedName>
    <definedName name="___________Cod1" localSheetId="5">#REF!</definedName>
    <definedName name="___________Cod1" localSheetId="6">#REF!</definedName>
    <definedName name="___________Cod1">#REF!</definedName>
    <definedName name="___________CUA44" localSheetId="5">[2]BASE!$D$253</definedName>
    <definedName name="___________CUA44" localSheetId="6">[2]BASE!$D$253</definedName>
    <definedName name="___________CUA44">[2]BASE!$D$253</definedName>
    <definedName name="___________LA124" localSheetId="5">[2]BASE!$D$64</definedName>
    <definedName name="___________LA124" localSheetId="6">[2]BASE!$D$64</definedName>
    <definedName name="___________LA124">[2]BASE!$D$64</definedName>
    <definedName name="___________LAC18">[4]BASE!$D$252</definedName>
    <definedName name="___________Po2">[5]REAJUSTESACTA1PROVI!#REF!</definedName>
    <definedName name="___________R84JH">[4]BASE!$D$172</definedName>
    <definedName name="___________REP43">[6]BASE!$D$136</definedName>
    <definedName name="___________TEP44" localSheetId="5">#N/A</definedName>
    <definedName name="___________TEP44" localSheetId="6">#N/A</definedName>
    <definedName name="___________TEP44">#N/A</definedName>
    <definedName name="___________TPE1132" localSheetId="5">#N/A</definedName>
    <definedName name="___________TPE1132" localSheetId="6">#N/A</definedName>
    <definedName name="___________TPE1132">#N/A</definedName>
    <definedName name="___________TPE12" localSheetId="5">#REF!</definedName>
    <definedName name="___________TPE12" localSheetId="6">#REF!</definedName>
    <definedName name="___________TPE12">#REF!</definedName>
    <definedName name="___________TPE1331" localSheetId="5">#N/A</definedName>
    <definedName name="___________TPE1331" localSheetId="6">#N/A</definedName>
    <definedName name="___________TPE1331">#N/A</definedName>
    <definedName name="___________TPE1702" localSheetId="5">#N/A</definedName>
    <definedName name="___________TPE1702" localSheetId="6">#N/A</definedName>
    <definedName name="___________TPE1702">#N/A</definedName>
    <definedName name="___________TPE1703" localSheetId="5">#N/A</definedName>
    <definedName name="___________TPE1703" localSheetId="6">#N/A</definedName>
    <definedName name="___________TPE1703">#N/A</definedName>
    <definedName name="___________TPE1704" localSheetId="5">#N/A</definedName>
    <definedName name="___________TPE1704" localSheetId="6">#N/A</definedName>
    <definedName name="___________TPE1704">#N/A</definedName>
    <definedName name="___________TPE1706" localSheetId="5">#N/A</definedName>
    <definedName name="___________TPE1706" localSheetId="6">#N/A</definedName>
    <definedName name="___________TPE1706">#N/A</definedName>
    <definedName name="___________TPE1708" localSheetId="5">#N/A</definedName>
    <definedName name="___________TPE1708" localSheetId="6">#N/A</definedName>
    <definedName name="___________TPE1708">#N/A</definedName>
    <definedName name="___________TPE1710" localSheetId="5">#N/A</definedName>
    <definedName name="___________TPE1710" localSheetId="6">#N/A</definedName>
    <definedName name="___________TPE1710">#N/A</definedName>
    <definedName name="___________TPE1735" localSheetId="5">#N/A</definedName>
    <definedName name="___________TPE1735" localSheetId="6">#N/A</definedName>
    <definedName name="___________TPE1735">#N/A</definedName>
    <definedName name="___________TPE1763" localSheetId="5">#N/A</definedName>
    <definedName name="___________TPE1763" localSheetId="6">#N/A</definedName>
    <definedName name="___________TPE1763">#N/A</definedName>
    <definedName name="___________TPE1790" localSheetId="5">#N/A</definedName>
    <definedName name="___________TPE1790" localSheetId="6">#N/A</definedName>
    <definedName name="___________TPE1790">#N/A</definedName>
    <definedName name="___________TPF12" localSheetId="5">[2]BASE!$D$217</definedName>
    <definedName name="___________TPF12" localSheetId="6">[2]BASE!$D$217</definedName>
    <definedName name="___________TPF12">[2]BASE!$D$217</definedName>
    <definedName name="___________TUZ22" localSheetId="5">'[2]BASE ORIGINAL'!#REF!</definedName>
    <definedName name="___________TUZ22" localSheetId="6">'[2]BASE ORIGINAL'!#REF!</definedName>
    <definedName name="___________TUZ22">'[2]BASE ORIGINAL'!#REF!</definedName>
    <definedName name="___________TUZ36" localSheetId="5">'[2]BASE ORIGINAL'!#REF!</definedName>
    <definedName name="___________TUZ36" localSheetId="6">'[2]BASE ORIGINAL'!#REF!</definedName>
    <definedName name="___________TUZ36">'[2]BASE ORIGINAL'!#REF!</definedName>
    <definedName name="___________TZ2110" localSheetId="5">[2]BASE!$D$79</definedName>
    <definedName name="___________TZ2110" localSheetId="6">[2]BASE!$D$79</definedName>
    <definedName name="___________TZ2110">[2]BASE!$D$79</definedName>
    <definedName name="___________TZ214" localSheetId="5">#N/A</definedName>
    <definedName name="___________TZ214" localSheetId="6">#N/A</definedName>
    <definedName name="___________TZ214">#N/A</definedName>
    <definedName name="___________TZ216" localSheetId="5">#N/A</definedName>
    <definedName name="___________TZ216" localSheetId="6">#N/A</definedName>
    <definedName name="___________TZ216">#N/A</definedName>
    <definedName name="___________TZ268">[4]BASE!$D$85</definedName>
    <definedName name="___________TZ323" localSheetId="5">'[2]BASE ORIGINAL'!#REF!</definedName>
    <definedName name="___________TZ323" localSheetId="6">'[2]BASE ORIGINAL'!#REF!</definedName>
    <definedName name="___________TZ323">'[2]BASE ORIGINAL'!#REF!</definedName>
    <definedName name="___________TZ324" localSheetId="5">'[2]BASE ORIGINAL'!#REF!</definedName>
    <definedName name="___________TZ324" localSheetId="6">'[2]BASE ORIGINAL'!#REF!</definedName>
    <definedName name="___________TZ324">'[2]BASE ORIGINAL'!#REF!</definedName>
    <definedName name="___________TZ32510" localSheetId="5">#N/A</definedName>
    <definedName name="___________TZ32510" localSheetId="6">#N/A</definedName>
    <definedName name="___________TZ32510">#N/A</definedName>
    <definedName name="__________ADH12" localSheetId="5">[2]BASE!$D$218</definedName>
    <definedName name="__________ADH12" localSheetId="6">[2]BASE!$D$218</definedName>
    <definedName name="__________ADH12">[2]BASE!$D$218</definedName>
    <definedName name="__________ADM12" localSheetId="5">[2]BASE!$D$219</definedName>
    <definedName name="__________ADM12" localSheetId="6">[2]BASE!$D$219</definedName>
    <definedName name="__________ADM12">[2]BASE!$D$219</definedName>
    <definedName name="__________ADM4" localSheetId="5">[2]BASE!$D$120</definedName>
    <definedName name="__________ADM4" localSheetId="6">[2]BASE!$D$120</definedName>
    <definedName name="__________ADM4">[2]BASE!$D$120</definedName>
    <definedName name="__________AIU1" localSheetId="5">#REF!</definedName>
    <definedName name="__________AIU1" localSheetId="6">#REF!</definedName>
    <definedName name="__________AIU1">#REF!</definedName>
    <definedName name="__________AIU2">[3]BASE!$C$5</definedName>
    <definedName name="__________AIU3">[13]BASE!$C$3</definedName>
    <definedName name="__________BAZ10" localSheetId="5">[2]BASE!$D$270</definedName>
    <definedName name="__________BAZ10" localSheetId="6">[2]BASE!$D$270</definedName>
    <definedName name="__________BAZ10">[2]BASE!$D$270</definedName>
    <definedName name="__________BLO20" localSheetId="5">[2]BASE!$D$56</definedName>
    <definedName name="__________BLO20" localSheetId="6">[2]BASE!$D$56</definedName>
    <definedName name="__________BLO20">[2]BASE!$D$56</definedName>
    <definedName name="__________CAN28" localSheetId="5">[2]BASE!$D$315</definedName>
    <definedName name="__________CAN28" localSheetId="6">[2]BASE!$D$315</definedName>
    <definedName name="__________CAN28">[2]BASE!$D$315</definedName>
    <definedName name="__________Cod1" localSheetId="5">#REF!</definedName>
    <definedName name="__________Cod1" localSheetId="6">#REF!</definedName>
    <definedName name="__________Cod1">#REF!</definedName>
    <definedName name="__________CUA44" localSheetId="5">[2]BASE!$D$253</definedName>
    <definedName name="__________CUA44" localSheetId="6">[2]BASE!$D$253</definedName>
    <definedName name="__________CUA44">[2]BASE!$D$253</definedName>
    <definedName name="__________LA124" localSheetId="5">[2]BASE!$D$64</definedName>
    <definedName name="__________LA124" localSheetId="6">[2]BASE!$D$64</definedName>
    <definedName name="__________LA124">[2]BASE!$D$64</definedName>
    <definedName name="__________LAC18">[4]BASE!$D$252</definedName>
    <definedName name="__________Po2">[5]REAJUSTESACTA1PROVI!#REF!</definedName>
    <definedName name="__________R84JH">[4]BASE!$D$172</definedName>
    <definedName name="__________REP43">[6]BASE!$D$136</definedName>
    <definedName name="__________TEP44" localSheetId="5">#N/A</definedName>
    <definedName name="__________TEP44" localSheetId="6">#N/A</definedName>
    <definedName name="__________TEP44">#N/A</definedName>
    <definedName name="__________TPE1132" localSheetId="5">#N/A</definedName>
    <definedName name="__________TPE1132" localSheetId="6">#N/A</definedName>
    <definedName name="__________TPE1132">#N/A</definedName>
    <definedName name="__________TPE12" localSheetId="5">#REF!</definedName>
    <definedName name="__________TPE12" localSheetId="6">#REF!</definedName>
    <definedName name="__________TPE12">#REF!</definedName>
    <definedName name="__________TPE1331" localSheetId="5">#N/A</definedName>
    <definedName name="__________TPE1331" localSheetId="6">#N/A</definedName>
    <definedName name="__________TPE1331">#N/A</definedName>
    <definedName name="__________TPE1702" localSheetId="5">#N/A</definedName>
    <definedName name="__________TPE1702" localSheetId="6">#N/A</definedName>
    <definedName name="__________TPE1702">#N/A</definedName>
    <definedName name="__________TPE1703" localSheetId="5">#N/A</definedName>
    <definedName name="__________TPE1703" localSheetId="6">#N/A</definedName>
    <definedName name="__________TPE1703">#N/A</definedName>
    <definedName name="__________TPE1704" localSheetId="5">#N/A</definedName>
    <definedName name="__________TPE1704" localSheetId="6">#N/A</definedName>
    <definedName name="__________TPE1704">#N/A</definedName>
    <definedName name="__________TPE1706" localSheetId="5">#N/A</definedName>
    <definedName name="__________TPE1706" localSheetId="6">#N/A</definedName>
    <definedName name="__________TPE1706">#N/A</definedName>
    <definedName name="__________TPE1708" localSheetId="5">#N/A</definedName>
    <definedName name="__________TPE1708" localSheetId="6">#N/A</definedName>
    <definedName name="__________TPE1708">#N/A</definedName>
    <definedName name="__________TPE1710" localSheetId="5">#N/A</definedName>
    <definedName name="__________TPE1710" localSheetId="6">#N/A</definedName>
    <definedName name="__________TPE1710">#N/A</definedName>
    <definedName name="__________TPE1735" localSheetId="5">#N/A</definedName>
    <definedName name="__________TPE1735" localSheetId="6">#N/A</definedName>
    <definedName name="__________TPE1735">#N/A</definedName>
    <definedName name="__________TPE1763" localSheetId="5">#N/A</definedName>
    <definedName name="__________TPE1763" localSheetId="6">#N/A</definedName>
    <definedName name="__________TPE1763">#N/A</definedName>
    <definedName name="__________TPE1790" localSheetId="5">#N/A</definedName>
    <definedName name="__________TPE1790" localSheetId="6">#N/A</definedName>
    <definedName name="__________TPE1790">#N/A</definedName>
    <definedName name="__________TPF12" localSheetId="5">[2]BASE!$D$217</definedName>
    <definedName name="__________TPF12" localSheetId="6">[2]BASE!$D$217</definedName>
    <definedName name="__________TPF12">[2]BASE!$D$217</definedName>
    <definedName name="__________TUZ22" localSheetId="5">'[2]BASE ORIGINAL'!#REF!</definedName>
    <definedName name="__________TUZ22" localSheetId="6">'[2]BASE ORIGINAL'!#REF!</definedName>
    <definedName name="__________TUZ22">'[2]BASE ORIGINAL'!#REF!</definedName>
    <definedName name="__________TUZ36" localSheetId="5">'[2]BASE ORIGINAL'!#REF!</definedName>
    <definedName name="__________TUZ36" localSheetId="6">'[2]BASE ORIGINAL'!#REF!</definedName>
    <definedName name="__________TUZ36">'[2]BASE ORIGINAL'!#REF!</definedName>
    <definedName name="__________TZ2110" localSheetId="5">[2]BASE!$D$79</definedName>
    <definedName name="__________TZ2110" localSheetId="6">[2]BASE!$D$79</definedName>
    <definedName name="__________TZ2110">[2]BASE!$D$79</definedName>
    <definedName name="__________TZ214" localSheetId="5">#N/A</definedName>
    <definedName name="__________TZ214" localSheetId="6">#N/A</definedName>
    <definedName name="__________TZ214">#N/A</definedName>
    <definedName name="__________TZ216" localSheetId="5">#N/A</definedName>
    <definedName name="__________TZ216" localSheetId="6">#N/A</definedName>
    <definedName name="__________TZ216">#N/A</definedName>
    <definedName name="__________TZ268">[4]BASE!$D$85</definedName>
    <definedName name="__________TZ323" localSheetId="5">'[2]BASE ORIGINAL'!#REF!</definedName>
    <definedName name="__________TZ323" localSheetId="6">'[2]BASE ORIGINAL'!#REF!</definedName>
    <definedName name="__________TZ323">'[2]BASE ORIGINAL'!#REF!</definedName>
    <definedName name="__________TZ324" localSheetId="5">'[2]BASE ORIGINAL'!#REF!</definedName>
    <definedName name="__________TZ324" localSheetId="6">'[2]BASE ORIGINAL'!#REF!</definedName>
    <definedName name="__________TZ324">'[2]BASE ORIGINAL'!#REF!</definedName>
    <definedName name="__________TZ32510" localSheetId="5">#N/A</definedName>
    <definedName name="__________TZ32510" localSheetId="6">#N/A</definedName>
    <definedName name="__________TZ32510">#N/A</definedName>
    <definedName name="_________ADH12" localSheetId="5">[2]BASE!$D$218</definedName>
    <definedName name="_________ADH12" localSheetId="6">[2]BASE!$D$218</definedName>
    <definedName name="_________ADH12">[2]BASE!$D$218</definedName>
    <definedName name="_________ADM12" localSheetId="5">[2]BASE!$D$219</definedName>
    <definedName name="_________ADM12" localSheetId="6">[2]BASE!$D$219</definedName>
    <definedName name="_________ADM12">[2]BASE!$D$219</definedName>
    <definedName name="_________ADM4" localSheetId="5">[2]BASE!$D$120</definedName>
    <definedName name="_________ADM4" localSheetId="6">[2]BASE!$D$120</definedName>
    <definedName name="_________ADM4">[2]BASE!$D$120</definedName>
    <definedName name="_________AIU1" localSheetId="5">#REF!</definedName>
    <definedName name="_________AIU1" localSheetId="6">#REF!</definedName>
    <definedName name="_________AIU1">#REF!</definedName>
    <definedName name="_________AIU2">[3]BASE!$C$5</definedName>
    <definedName name="_________AIU3">[11]BASE!$C$3</definedName>
    <definedName name="_________BAZ10" localSheetId="5">[2]BASE!$D$270</definedName>
    <definedName name="_________BAZ10" localSheetId="6">[2]BASE!$D$270</definedName>
    <definedName name="_________BAZ10">[2]BASE!$D$270</definedName>
    <definedName name="_________BLO20" localSheetId="5">[2]BASE!$D$56</definedName>
    <definedName name="_________BLO20" localSheetId="6">[2]BASE!$D$56</definedName>
    <definedName name="_________BLO20">[2]BASE!$D$56</definedName>
    <definedName name="_________CAN28" localSheetId="5">[2]BASE!$D$315</definedName>
    <definedName name="_________CAN28" localSheetId="6">[2]BASE!$D$315</definedName>
    <definedName name="_________CAN28">[2]BASE!$D$315</definedName>
    <definedName name="_________Cod1" localSheetId="5">#REF!</definedName>
    <definedName name="_________Cod1" localSheetId="6">#REF!</definedName>
    <definedName name="_________Cod1">#REF!</definedName>
    <definedName name="_________CUA44" localSheetId="5">[2]BASE!$D$253</definedName>
    <definedName name="_________CUA44" localSheetId="6">[2]BASE!$D$253</definedName>
    <definedName name="_________CUA44">[2]BASE!$D$253</definedName>
    <definedName name="_________LA124" localSheetId="5">[2]BASE!$D$64</definedName>
    <definedName name="_________LA124" localSheetId="6">[2]BASE!$D$64</definedName>
    <definedName name="_________LA124">[2]BASE!$D$64</definedName>
    <definedName name="_________LAC18">[4]BASE!$D$252</definedName>
    <definedName name="_________Po2">[5]REAJUSTESACTA1PROVI!#REF!</definedName>
    <definedName name="_________R84JH">[4]BASE!$D$172</definedName>
    <definedName name="_________REP43">[6]BASE!$D$136</definedName>
    <definedName name="_________TEP44" localSheetId="5">#N/A</definedName>
    <definedName name="_________TEP44" localSheetId="6">#N/A</definedName>
    <definedName name="_________TEP44">#N/A</definedName>
    <definedName name="_________TPE1132" localSheetId="5">#N/A</definedName>
    <definedName name="_________TPE1132" localSheetId="6">#N/A</definedName>
    <definedName name="_________TPE1132">#N/A</definedName>
    <definedName name="_________TPE12" localSheetId="5">#REF!</definedName>
    <definedName name="_________TPE12" localSheetId="6">#REF!</definedName>
    <definedName name="_________TPE12">#REF!</definedName>
    <definedName name="_________TPE1331" localSheetId="5">#N/A</definedName>
    <definedName name="_________TPE1331" localSheetId="6">#N/A</definedName>
    <definedName name="_________TPE1331">#N/A</definedName>
    <definedName name="_________TPE1702" localSheetId="5">#N/A</definedName>
    <definedName name="_________TPE1702" localSheetId="6">#N/A</definedName>
    <definedName name="_________TPE1702">#N/A</definedName>
    <definedName name="_________TPE1703" localSheetId="5">#N/A</definedName>
    <definedName name="_________TPE1703" localSheetId="6">#N/A</definedName>
    <definedName name="_________TPE1703">#N/A</definedName>
    <definedName name="_________TPE1704" localSheetId="5">#N/A</definedName>
    <definedName name="_________TPE1704" localSheetId="6">#N/A</definedName>
    <definedName name="_________TPE1704">#N/A</definedName>
    <definedName name="_________TPE1706" localSheetId="5">#N/A</definedName>
    <definedName name="_________TPE1706" localSheetId="6">#N/A</definedName>
    <definedName name="_________TPE1706">#N/A</definedName>
    <definedName name="_________TPE1708" localSheetId="5">#N/A</definedName>
    <definedName name="_________TPE1708" localSheetId="6">#N/A</definedName>
    <definedName name="_________TPE1708">#N/A</definedName>
    <definedName name="_________TPE1710" localSheetId="5">#N/A</definedName>
    <definedName name="_________TPE1710" localSheetId="6">#N/A</definedName>
    <definedName name="_________TPE1710">#N/A</definedName>
    <definedName name="_________TPE1735" localSheetId="5">#N/A</definedName>
    <definedName name="_________TPE1735" localSheetId="6">#N/A</definedName>
    <definedName name="_________TPE1735">#N/A</definedName>
    <definedName name="_________TPE1763" localSheetId="5">#N/A</definedName>
    <definedName name="_________TPE1763" localSheetId="6">#N/A</definedName>
    <definedName name="_________TPE1763">#N/A</definedName>
    <definedName name="_________TPE1790" localSheetId="5">#N/A</definedName>
    <definedName name="_________TPE1790" localSheetId="6">#N/A</definedName>
    <definedName name="_________TPE1790">#N/A</definedName>
    <definedName name="_________TPF12" localSheetId="5">[2]BASE!$D$217</definedName>
    <definedName name="_________TPF12" localSheetId="6">[2]BASE!$D$217</definedName>
    <definedName name="_________TPF12">[2]BASE!$D$217</definedName>
    <definedName name="_________TUZ22" localSheetId="5">'[2]BASE ORIGINAL'!#REF!</definedName>
    <definedName name="_________TUZ22" localSheetId="6">'[2]BASE ORIGINAL'!#REF!</definedName>
    <definedName name="_________TUZ22">'[2]BASE ORIGINAL'!#REF!</definedName>
    <definedName name="_________TUZ36" localSheetId="5">'[2]BASE ORIGINAL'!#REF!</definedName>
    <definedName name="_________TUZ36" localSheetId="6">'[2]BASE ORIGINAL'!#REF!</definedName>
    <definedName name="_________TUZ36">'[2]BASE ORIGINAL'!#REF!</definedName>
    <definedName name="_________TZ2110" localSheetId="5">[2]BASE!$D$79</definedName>
    <definedName name="_________TZ2110" localSheetId="6">[2]BASE!$D$79</definedName>
    <definedName name="_________TZ2110">[2]BASE!$D$79</definedName>
    <definedName name="_________TZ213" localSheetId="10">[2]BASE!$D$85</definedName>
    <definedName name="_________TZ213">[2]BASE!$D$85</definedName>
    <definedName name="_________TZ214" localSheetId="5">#N/A</definedName>
    <definedName name="_________TZ214" localSheetId="6">#N/A</definedName>
    <definedName name="_________TZ214">#N/A</definedName>
    <definedName name="_________TZ216" localSheetId="5">#N/A</definedName>
    <definedName name="_________TZ216" localSheetId="6">#N/A</definedName>
    <definedName name="_________TZ216">#N/A</definedName>
    <definedName name="_________TZ268">[4]BASE!$D$85</definedName>
    <definedName name="_________TZ323" localSheetId="5">'[2]BASE ORIGINAL'!#REF!</definedName>
    <definedName name="_________TZ323" localSheetId="6">'[2]BASE ORIGINAL'!#REF!</definedName>
    <definedName name="_________TZ323">'[2]BASE ORIGINAL'!#REF!</definedName>
    <definedName name="_________TZ324" localSheetId="5">'[2]BASE ORIGINAL'!#REF!</definedName>
    <definedName name="_________TZ324" localSheetId="6">'[2]BASE ORIGINAL'!#REF!</definedName>
    <definedName name="_________TZ324">'[2]BASE ORIGINAL'!#REF!</definedName>
    <definedName name="_________TZ32510" localSheetId="5">#N/A</definedName>
    <definedName name="_________TZ32510" localSheetId="6">#N/A</definedName>
    <definedName name="_________TZ32510">#N/A</definedName>
    <definedName name="________ADH12" localSheetId="5">[2]BASE!$D$218</definedName>
    <definedName name="________ADH12" localSheetId="6">[2]BASE!$D$218</definedName>
    <definedName name="________ADH12">[2]BASE!$D$218</definedName>
    <definedName name="________ADM12" localSheetId="5">[2]BASE!$D$219</definedName>
    <definedName name="________ADM12" localSheetId="6">[2]BASE!$D$219</definedName>
    <definedName name="________ADM12">[2]BASE!$D$219</definedName>
    <definedName name="________ADM4" localSheetId="5">[2]BASE!$D$120</definedName>
    <definedName name="________ADM4" localSheetId="6">[2]BASE!$D$120</definedName>
    <definedName name="________ADM4">[2]BASE!$D$120</definedName>
    <definedName name="________AIU1" localSheetId="5">#REF!</definedName>
    <definedName name="________AIU1" localSheetId="6">#REF!</definedName>
    <definedName name="________AIU1">#REF!</definedName>
    <definedName name="________AIU2">[3]BASE!$C$5</definedName>
    <definedName name="________AIU3">[11]BASE!$C$3</definedName>
    <definedName name="________BAZ10" localSheetId="5">[2]BASE!$D$270</definedName>
    <definedName name="________BAZ10" localSheetId="6">[2]BASE!$D$270</definedName>
    <definedName name="________BAZ10">[2]BASE!$D$270</definedName>
    <definedName name="________BLO20" localSheetId="5">[2]BASE!$D$56</definedName>
    <definedName name="________BLO20" localSheetId="6">[2]BASE!$D$56</definedName>
    <definedName name="________BLO20">[2]BASE!$D$56</definedName>
    <definedName name="________CAN28" localSheetId="5">[2]BASE!$D$315</definedName>
    <definedName name="________CAN28" localSheetId="6">[2]BASE!$D$315</definedName>
    <definedName name="________CAN28">[2]BASE!$D$315</definedName>
    <definedName name="________Cod1" localSheetId="5">#REF!</definedName>
    <definedName name="________Cod1" localSheetId="6">#REF!</definedName>
    <definedName name="________Cod1">#REF!</definedName>
    <definedName name="________CUA44" localSheetId="5">[2]BASE!$D$253</definedName>
    <definedName name="________CUA44" localSheetId="6">[2]BASE!$D$253</definedName>
    <definedName name="________CUA44">[2]BASE!$D$253</definedName>
    <definedName name="________LA124" localSheetId="5">[2]BASE!$D$64</definedName>
    <definedName name="________LA124" localSheetId="6">[2]BASE!$D$64</definedName>
    <definedName name="________LA124">[2]BASE!$D$64</definedName>
    <definedName name="________LAC18">[4]BASE!$D$252</definedName>
    <definedName name="________Po2">[5]REAJUSTESACTA1PROVI!#REF!</definedName>
    <definedName name="________R84JH">[4]BASE!$D$172</definedName>
    <definedName name="________REP43">[6]BASE!$D$136</definedName>
    <definedName name="________TEP44" localSheetId="5">#N/A</definedName>
    <definedName name="________TEP44" localSheetId="6">#N/A</definedName>
    <definedName name="________TEP44">#N/A</definedName>
    <definedName name="________TPE1132" localSheetId="5">#N/A</definedName>
    <definedName name="________TPE1132" localSheetId="6">#N/A</definedName>
    <definedName name="________TPE1132">#N/A</definedName>
    <definedName name="________TPE12" localSheetId="5">#REF!</definedName>
    <definedName name="________TPE12" localSheetId="6">#REF!</definedName>
    <definedName name="________TPE12">#REF!</definedName>
    <definedName name="________TPE1331" localSheetId="5">#N/A</definedName>
    <definedName name="________TPE1331" localSheetId="6">#N/A</definedName>
    <definedName name="________TPE1331">#N/A</definedName>
    <definedName name="________TPE1702" localSheetId="5">#N/A</definedName>
    <definedName name="________TPE1702" localSheetId="6">#N/A</definedName>
    <definedName name="________TPE1702">#N/A</definedName>
    <definedName name="________TPE1703" localSheetId="5">#N/A</definedName>
    <definedName name="________TPE1703" localSheetId="6">#N/A</definedName>
    <definedName name="________TPE1703">#N/A</definedName>
    <definedName name="________TPE1704" localSheetId="5">#N/A</definedName>
    <definedName name="________TPE1704" localSheetId="6">#N/A</definedName>
    <definedName name="________TPE1704">#N/A</definedName>
    <definedName name="________TPE1706" localSheetId="5">#N/A</definedName>
    <definedName name="________TPE1706" localSheetId="6">#N/A</definedName>
    <definedName name="________TPE1706">#N/A</definedName>
    <definedName name="________TPE1708" localSheetId="5">#N/A</definedName>
    <definedName name="________TPE1708" localSheetId="6">#N/A</definedName>
    <definedName name="________TPE1708">#N/A</definedName>
    <definedName name="________TPE1710" localSheetId="5">#N/A</definedName>
    <definedName name="________TPE1710" localSheetId="6">#N/A</definedName>
    <definedName name="________TPE1710">#N/A</definedName>
    <definedName name="________TPE1735" localSheetId="5">#N/A</definedName>
    <definedName name="________TPE1735" localSheetId="6">#N/A</definedName>
    <definedName name="________TPE1735">#N/A</definedName>
    <definedName name="________TPE1763" localSheetId="5">#N/A</definedName>
    <definedName name="________TPE1763" localSheetId="6">#N/A</definedName>
    <definedName name="________TPE1763">#N/A</definedName>
    <definedName name="________TPE1790" localSheetId="5">#N/A</definedName>
    <definedName name="________TPE1790" localSheetId="6">#N/A</definedName>
    <definedName name="________TPE1790">#N/A</definedName>
    <definedName name="________TPF12" localSheetId="5">[2]BASE!$D$217</definedName>
    <definedName name="________TPF12" localSheetId="6">[2]BASE!$D$217</definedName>
    <definedName name="________TPF12">[2]BASE!$D$217</definedName>
    <definedName name="________TUZ22" localSheetId="5">'[2]BASE ORIGINAL'!#REF!</definedName>
    <definedName name="________TUZ22" localSheetId="6">'[2]BASE ORIGINAL'!#REF!</definedName>
    <definedName name="________TUZ22">'[2]BASE ORIGINAL'!#REF!</definedName>
    <definedName name="________TUZ36" localSheetId="5">'[2]BASE ORIGINAL'!#REF!</definedName>
    <definedName name="________TUZ36" localSheetId="6">'[2]BASE ORIGINAL'!#REF!</definedName>
    <definedName name="________TUZ36">'[2]BASE ORIGINAL'!#REF!</definedName>
    <definedName name="________TZ2110" localSheetId="5">[2]BASE!$D$79</definedName>
    <definedName name="________TZ2110" localSheetId="6">[2]BASE!$D$79</definedName>
    <definedName name="________TZ2110">[2]BASE!$D$79</definedName>
    <definedName name="________TZ213">[14]BASE!$D$87</definedName>
    <definedName name="________TZ214" localSheetId="5">#N/A</definedName>
    <definedName name="________TZ214" localSheetId="6">#N/A</definedName>
    <definedName name="________TZ214">#N/A</definedName>
    <definedName name="________TZ216" localSheetId="5">#N/A</definedName>
    <definedName name="________TZ216" localSheetId="6">#N/A</definedName>
    <definedName name="________TZ216">#N/A</definedName>
    <definedName name="________TZ268">[4]BASE!$D$85</definedName>
    <definedName name="________TZ323" localSheetId="5">'[2]BASE ORIGINAL'!#REF!</definedName>
    <definedName name="________TZ323" localSheetId="6">'[2]BASE ORIGINAL'!#REF!</definedName>
    <definedName name="________TZ323">'[2]BASE ORIGINAL'!#REF!</definedName>
    <definedName name="________TZ324" localSheetId="5">'[2]BASE ORIGINAL'!#REF!</definedName>
    <definedName name="________TZ324" localSheetId="6">'[2]BASE ORIGINAL'!#REF!</definedName>
    <definedName name="________TZ324">'[2]BASE ORIGINAL'!#REF!</definedName>
    <definedName name="________TZ32510" localSheetId="5">#N/A</definedName>
    <definedName name="________TZ32510" localSheetId="6">#N/A</definedName>
    <definedName name="________TZ32510">#N/A</definedName>
    <definedName name="_______ADH12" localSheetId="5">[2]BASE!$D$218</definedName>
    <definedName name="_______ADH12" localSheetId="6">[2]BASE!$D$218</definedName>
    <definedName name="_______ADH12">[2]BASE!$D$218</definedName>
    <definedName name="_______ADM12" localSheetId="5">[2]BASE!$D$219</definedName>
    <definedName name="_______ADM12" localSheetId="6">[2]BASE!$D$219</definedName>
    <definedName name="_______ADM12">[2]BASE!$D$219</definedName>
    <definedName name="_______ADM4" localSheetId="5">[2]BASE!$D$120</definedName>
    <definedName name="_______ADM4" localSheetId="6">[2]BASE!$D$120</definedName>
    <definedName name="_______ADM4">[2]BASE!$D$120</definedName>
    <definedName name="_______AIU1" localSheetId="5">#REF!</definedName>
    <definedName name="_______AIU1" localSheetId="6">#REF!</definedName>
    <definedName name="_______AIU1">#REF!</definedName>
    <definedName name="_______AIU2">[3]BASE!$C$5</definedName>
    <definedName name="_______AIU3">[11]BASE!$C$3</definedName>
    <definedName name="_______BAZ10" localSheetId="5">[2]BASE!$D$270</definedName>
    <definedName name="_______BAZ10" localSheetId="6">[2]BASE!$D$270</definedName>
    <definedName name="_______BAZ10">[2]BASE!$D$270</definedName>
    <definedName name="_______BLO20" localSheetId="5">[2]BASE!$D$56</definedName>
    <definedName name="_______BLO20" localSheetId="6">[2]BASE!$D$56</definedName>
    <definedName name="_______BLO20">[2]BASE!$D$56</definedName>
    <definedName name="_______CAN28" localSheetId="5">[2]BASE!$D$315</definedName>
    <definedName name="_______CAN28" localSheetId="6">[2]BASE!$D$315</definedName>
    <definedName name="_______CAN28">[2]BASE!$D$315</definedName>
    <definedName name="_______Cod1" localSheetId="5">#REF!</definedName>
    <definedName name="_______Cod1" localSheetId="6">#REF!</definedName>
    <definedName name="_______Cod1">#REF!</definedName>
    <definedName name="_______CUA44" localSheetId="5">[2]BASE!$D$253</definedName>
    <definedName name="_______CUA44" localSheetId="6">[2]BASE!$D$253</definedName>
    <definedName name="_______CUA44">[2]BASE!$D$253</definedName>
    <definedName name="_______LA124" localSheetId="5">[2]BASE!$D$64</definedName>
    <definedName name="_______LA124" localSheetId="6">[2]BASE!$D$64</definedName>
    <definedName name="_______LA124">[2]BASE!$D$64</definedName>
    <definedName name="_______LAC18">[4]BASE!$D$252</definedName>
    <definedName name="_______Po2">[5]REAJUSTESACTA1PROVI!#REF!</definedName>
    <definedName name="_______R84JH">[4]BASE!$D$172</definedName>
    <definedName name="_______REP43">[6]BASE!$D$136</definedName>
    <definedName name="_______TEP44" localSheetId="5">#N/A</definedName>
    <definedName name="_______TEP44" localSheetId="6">#N/A</definedName>
    <definedName name="_______TEP44" localSheetId="0">[2]BASE!$D$116</definedName>
    <definedName name="_______TEP44">#N/A</definedName>
    <definedName name="_______TPE1132" localSheetId="5">#N/A</definedName>
    <definedName name="_______TPE1132" localSheetId="6">#N/A</definedName>
    <definedName name="_______TPE1132">#N/A</definedName>
    <definedName name="_______TPE12" localSheetId="5">#REF!</definedName>
    <definedName name="_______TPE12" localSheetId="6">#REF!</definedName>
    <definedName name="_______TPE12">#REF!</definedName>
    <definedName name="_______TPE1331" localSheetId="5">#N/A</definedName>
    <definedName name="_______TPE1331" localSheetId="6">#N/A</definedName>
    <definedName name="_______TPE1331">#N/A</definedName>
    <definedName name="_______TPE1702" localSheetId="5">#N/A</definedName>
    <definedName name="_______TPE1702" localSheetId="6">#N/A</definedName>
    <definedName name="_______TPE1702">#N/A</definedName>
    <definedName name="_______TPE1703" localSheetId="5">#N/A</definedName>
    <definedName name="_______TPE1703" localSheetId="6">#N/A</definedName>
    <definedName name="_______TPE1703">#N/A</definedName>
    <definedName name="_______TPE1704" localSheetId="5">#N/A</definedName>
    <definedName name="_______TPE1704" localSheetId="6">#N/A</definedName>
    <definedName name="_______TPE1704">#N/A</definedName>
    <definedName name="_______TPE1706" localSheetId="5">#N/A</definedName>
    <definedName name="_______TPE1706" localSheetId="6">#N/A</definedName>
    <definedName name="_______TPE1706">#N/A</definedName>
    <definedName name="_______TPE1708" localSheetId="5">#N/A</definedName>
    <definedName name="_______TPE1708" localSheetId="6">#N/A</definedName>
    <definedName name="_______TPE1708">#N/A</definedName>
    <definedName name="_______TPE1710" localSheetId="5">#N/A</definedName>
    <definedName name="_______TPE1710" localSheetId="6">#N/A</definedName>
    <definedName name="_______TPE1710">#N/A</definedName>
    <definedName name="_______TPE1735" localSheetId="5">#N/A</definedName>
    <definedName name="_______TPE1735" localSheetId="6">#N/A</definedName>
    <definedName name="_______TPE1735">#N/A</definedName>
    <definedName name="_______TPE1763" localSheetId="5">#N/A</definedName>
    <definedName name="_______TPE1763" localSheetId="6">#N/A</definedName>
    <definedName name="_______TPE1763">#N/A</definedName>
    <definedName name="_______TPE1790" localSheetId="5">#N/A</definedName>
    <definedName name="_______TPE1790" localSheetId="6">#N/A</definedName>
    <definedName name="_______TPE1790">#N/A</definedName>
    <definedName name="_______TPF12" localSheetId="5">[2]BASE!$D$217</definedName>
    <definedName name="_______TPF12" localSheetId="6">[2]BASE!$D$217</definedName>
    <definedName name="_______TPF12">[2]BASE!$D$217</definedName>
    <definedName name="_______TUZ22" localSheetId="5">'[2]BASE ORIGINAL'!#REF!</definedName>
    <definedName name="_______TUZ22" localSheetId="6">'[2]BASE ORIGINAL'!#REF!</definedName>
    <definedName name="_______TUZ22">'[2]BASE ORIGINAL'!#REF!</definedName>
    <definedName name="_______TUZ36" localSheetId="5">'[2]BASE ORIGINAL'!#REF!</definedName>
    <definedName name="_______TUZ36" localSheetId="6">'[2]BASE ORIGINAL'!#REF!</definedName>
    <definedName name="_______TUZ36">'[2]BASE ORIGINAL'!#REF!</definedName>
    <definedName name="_______TZ2110" localSheetId="5">[2]BASE!$D$79</definedName>
    <definedName name="_______TZ2110" localSheetId="6">[2]BASE!$D$79</definedName>
    <definedName name="_______TZ2110">[2]BASE!$D$79</definedName>
    <definedName name="_______TZ213">[11]BASE!$D$89</definedName>
    <definedName name="_______TZ214" localSheetId="5">#N/A</definedName>
    <definedName name="_______TZ214" localSheetId="6">#N/A</definedName>
    <definedName name="_______TZ214" localSheetId="0">[2]BASE!$D$86</definedName>
    <definedName name="_______TZ214">#N/A</definedName>
    <definedName name="_______TZ216" localSheetId="5">#N/A</definedName>
    <definedName name="_______TZ216" localSheetId="6">#N/A</definedName>
    <definedName name="_______TZ216">#N/A</definedName>
    <definedName name="_______TZ268">[4]BASE!$D$85</definedName>
    <definedName name="_______TZ323" localSheetId="5">'[2]BASE ORIGINAL'!#REF!</definedName>
    <definedName name="_______TZ323" localSheetId="6">'[2]BASE ORIGINAL'!#REF!</definedName>
    <definedName name="_______TZ323">'[2]BASE ORIGINAL'!#REF!</definedName>
    <definedName name="_______TZ324" localSheetId="5">'[2]BASE ORIGINAL'!#REF!</definedName>
    <definedName name="_______TZ324" localSheetId="6">'[2]BASE ORIGINAL'!#REF!</definedName>
    <definedName name="_______TZ324">'[2]BASE ORIGINAL'!#REF!</definedName>
    <definedName name="_______TZ32510" localSheetId="5">#N/A</definedName>
    <definedName name="_______TZ32510" localSheetId="6">#N/A</definedName>
    <definedName name="_______TZ32510">#N/A</definedName>
    <definedName name="______ADH12" localSheetId="5">[2]BASE!$D$218</definedName>
    <definedName name="______ADH12" localSheetId="6">[2]BASE!$D$218</definedName>
    <definedName name="______ADH12">[2]BASE!$D$218</definedName>
    <definedName name="______ADM12" localSheetId="5">[2]BASE!$D$219</definedName>
    <definedName name="______ADM12" localSheetId="6">[2]BASE!$D$219</definedName>
    <definedName name="______ADM12">[2]BASE!$D$219</definedName>
    <definedName name="______ADM4" localSheetId="5">[2]BASE!$D$120</definedName>
    <definedName name="______ADM4" localSheetId="6">[2]BASE!$D$120</definedName>
    <definedName name="______ADM4" localSheetId="0">[2]BASE!$D$133</definedName>
    <definedName name="______ADM4">[2]BASE!$D$120</definedName>
    <definedName name="______AIU1" localSheetId="5">#REF!</definedName>
    <definedName name="______AIU1" localSheetId="6">#REF!</definedName>
    <definedName name="______AIU1">#REF!</definedName>
    <definedName name="______AIU2">[3]BASE!$C$5</definedName>
    <definedName name="______AIU3">[11]BASE!$C$3</definedName>
    <definedName name="______BAZ10" localSheetId="5">[2]BASE!$D$270</definedName>
    <definedName name="______BAZ10" localSheetId="6">[2]BASE!$D$270</definedName>
    <definedName name="______BAZ10">[2]BASE!$D$270</definedName>
    <definedName name="______BLO20" localSheetId="5">[2]BASE!$D$56</definedName>
    <definedName name="______BLO20" localSheetId="6">[2]BASE!$D$56</definedName>
    <definedName name="______BLO20" localSheetId="0">[15]BASE!$D$64</definedName>
    <definedName name="______BLO20">[2]BASE!$D$56</definedName>
    <definedName name="______CAN28" localSheetId="5">[2]BASE!$D$315</definedName>
    <definedName name="______CAN28" localSheetId="6">[2]BASE!$D$315</definedName>
    <definedName name="______CAN28">[2]BASE!$D$315</definedName>
    <definedName name="______Cod1" localSheetId="5">#REF!</definedName>
    <definedName name="______Cod1" localSheetId="6">#REF!</definedName>
    <definedName name="______Cod1">#REF!</definedName>
    <definedName name="______CUA44" localSheetId="5">[2]BASE!$D$253</definedName>
    <definedName name="______CUA44" localSheetId="6">[2]BASE!$D$253</definedName>
    <definedName name="______CUA44">[2]BASE!$D$253</definedName>
    <definedName name="______LA124" localSheetId="5">[2]BASE!$D$64</definedName>
    <definedName name="______LA124" localSheetId="6">[2]BASE!$D$64</definedName>
    <definedName name="______LA124">[2]BASE!$D$64</definedName>
    <definedName name="______LAC18">[4]BASE!$D$252</definedName>
    <definedName name="______Po2">[5]REAJUSTESACTA1PROVI!#REF!</definedName>
    <definedName name="______R84JH">[4]BASE!$D$172</definedName>
    <definedName name="______REP43">[6]BASE!$D$136</definedName>
    <definedName name="______TEP44" localSheetId="5">#REF!</definedName>
    <definedName name="______TEP44" localSheetId="6">#REF!</definedName>
    <definedName name="______TEP44" localSheetId="0">[7]BASE!$D$116</definedName>
    <definedName name="______TEP44">#REF!</definedName>
    <definedName name="______TPE1132" localSheetId="5">#N/A</definedName>
    <definedName name="______TPE1132" localSheetId="6">#N/A</definedName>
    <definedName name="______TPE1132">#N/A</definedName>
    <definedName name="______TPE12" localSheetId="5">#REF!</definedName>
    <definedName name="______TPE12" localSheetId="6">#REF!</definedName>
    <definedName name="______TPE12">#REF!</definedName>
    <definedName name="______TPE1331" localSheetId="5">#N/A</definedName>
    <definedName name="______TPE1331" localSheetId="6">#N/A</definedName>
    <definedName name="______TPE1331">#N/A</definedName>
    <definedName name="______TPE1702" localSheetId="5">#N/A</definedName>
    <definedName name="______TPE1702" localSheetId="6">#N/A</definedName>
    <definedName name="______TPE1702">#N/A</definedName>
    <definedName name="______TPE1703" localSheetId="5">#N/A</definedName>
    <definedName name="______TPE1703" localSheetId="6">#N/A</definedName>
    <definedName name="______TPE1703">#N/A</definedName>
    <definedName name="______TPE1704" localSheetId="5">#N/A</definedName>
    <definedName name="______TPE1704" localSheetId="6">#N/A</definedName>
    <definedName name="______TPE1704">#N/A</definedName>
    <definedName name="______TPE1706" localSheetId="5">#N/A</definedName>
    <definedName name="______TPE1706" localSheetId="6">#N/A</definedName>
    <definedName name="______TPE1706">#N/A</definedName>
    <definedName name="______TPE1708" localSheetId="5">#N/A</definedName>
    <definedName name="______TPE1708" localSheetId="6">#N/A</definedName>
    <definedName name="______TPE1708">#N/A</definedName>
    <definedName name="______TPE1710" localSheetId="5">#N/A</definedName>
    <definedName name="______TPE1710" localSheetId="6">#N/A</definedName>
    <definedName name="______TPE1710">#N/A</definedName>
    <definedName name="______TPE1735" localSheetId="5">#N/A</definedName>
    <definedName name="______TPE1735" localSheetId="6">#N/A</definedName>
    <definedName name="______TPE1735">#N/A</definedName>
    <definedName name="______TPE1763" localSheetId="5">#N/A</definedName>
    <definedName name="______TPE1763" localSheetId="6">#N/A</definedName>
    <definedName name="______TPE1763">#N/A</definedName>
    <definedName name="______TPE1790" localSheetId="5">#N/A</definedName>
    <definedName name="______TPE1790" localSheetId="6">#N/A</definedName>
    <definedName name="______TPE1790">#N/A</definedName>
    <definedName name="______TPF12" localSheetId="5">[2]BASE!$D$217</definedName>
    <definedName name="______TPF12" localSheetId="6">[2]BASE!$D$217</definedName>
    <definedName name="______TPF12">[2]BASE!$D$217</definedName>
    <definedName name="______TUZ22" localSheetId="5">'[2]BASE ORIGINAL'!#REF!</definedName>
    <definedName name="______TUZ22" localSheetId="6">'[2]BASE ORIGINAL'!#REF!</definedName>
    <definedName name="______TUZ22">'[2]BASE ORIGINAL'!#REF!</definedName>
    <definedName name="______TUZ36" localSheetId="5">'[2]BASE ORIGINAL'!#REF!</definedName>
    <definedName name="______TUZ36" localSheetId="6">'[2]BASE ORIGINAL'!#REF!</definedName>
    <definedName name="______TUZ36">'[2]BASE ORIGINAL'!#REF!</definedName>
    <definedName name="______TZ2110" localSheetId="5">[2]BASE!$D$79</definedName>
    <definedName name="______TZ2110" localSheetId="6">[2]BASE!$D$79</definedName>
    <definedName name="______TZ2110">[2]BASE!$D$79</definedName>
    <definedName name="______TZ213">[15]BASE!$D$89</definedName>
    <definedName name="______TZ214" localSheetId="5">#N/A</definedName>
    <definedName name="______TZ214" localSheetId="6">#N/A</definedName>
    <definedName name="______TZ214" localSheetId="0">[7]BASE!$D$86</definedName>
    <definedName name="______TZ214">#N/A</definedName>
    <definedName name="______TZ216" localSheetId="5">#REF!</definedName>
    <definedName name="______TZ216" localSheetId="6">#REF!</definedName>
    <definedName name="______TZ216" localSheetId="0">[2]BASE!$D$87</definedName>
    <definedName name="______TZ216">#REF!</definedName>
    <definedName name="______TZ268">[4]BASE!$D$85</definedName>
    <definedName name="______TZ323" localSheetId="5">'[2]BASE ORIGINAL'!#REF!</definedName>
    <definedName name="______TZ323" localSheetId="6">'[2]BASE ORIGINAL'!#REF!</definedName>
    <definedName name="______TZ323">'[2]BASE ORIGINAL'!#REF!</definedName>
    <definedName name="______TZ324" localSheetId="5">'[2]BASE ORIGINAL'!#REF!</definedName>
    <definedName name="______TZ324" localSheetId="6">'[2]BASE ORIGINAL'!#REF!</definedName>
    <definedName name="______TZ324">'[2]BASE ORIGINAL'!#REF!</definedName>
    <definedName name="______TZ32510" localSheetId="5">#N/A</definedName>
    <definedName name="______TZ32510" localSheetId="6">#N/A</definedName>
    <definedName name="______TZ32510">#N/A</definedName>
    <definedName name="_____ADH12" localSheetId="5">[2]BASE!$D$218</definedName>
    <definedName name="_____ADH12" localSheetId="6">[2]BASE!$D$218</definedName>
    <definedName name="_____ADH12">[2]BASE!$D$218</definedName>
    <definedName name="_____ADM12" localSheetId="5">[2]BASE!$D$219</definedName>
    <definedName name="_____ADM12" localSheetId="6">[2]BASE!$D$219</definedName>
    <definedName name="_____ADM12">[2]BASE!$D$219</definedName>
    <definedName name="_____ADM4" localSheetId="5">[2]BASE!$D$120</definedName>
    <definedName name="_____ADM4" localSheetId="6">[2]BASE!$D$120</definedName>
    <definedName name="_____ADM4" localSheetId="0">[1]BASE!$D$120</definedName>
    <definedName name="_____ADM4">[2]BASE!$D$120</definedName>
    <definedName name="_____AIU1" localSheetId="5">#REF!</definedName>
    <definedName name="_____AIU1" localSheetId="6">#REF!</definedName>
    <definedName name="_____AIU1">#REF!</definedName>
    <definedName name="_____AIU2">[3]BASE!$C$5</definedName>
    <definedName name="_____AIU3">[11]BASE!$C$3</definedName>
    <definedName name="_____BAZ10" localSheetId="5">[2]BASE!$D$270</definedName>
    <definedName name="_____BAZ10" localSheetId="6">[2]BASE!$D$270</definedName>
    <definedName name="_____BAZ10">[2]BASE!$D$270</definedName>
    <definedName name="_____BLO20" localSheetId="5">[2]BASE!$D$56</definedName>
    <definedName name="_____BLO20" localSheetId="6">[2]BASE!$D$56</definedName>
    <definedName name="_____BLO20" localSheetId="0">[2]BASE!$D$62</definedName>
    <definedName name="_____BLO20">[2]BASE!$D$56</definedName>
    <definedName name="_____CAN28" localSheetId="5">[2]BASE!$D$315</definedName>
    <definedName name="_____CAN28" localSheetId="6">[2]BASE!$D$315</definedName>
    <definedName name="_____CAN28">[2]BASE!$D$315</definedName>
    <definedName name="_____Cod1" localSheetId="5">#REF!</definedName>
    <definedName name="_____Cod1" localSheetId="6">#REF!</definedName>
    <definedName name="_____Cod1">#REF!</definedName>
    <definedName name="_____CUA44" localSheetId="5">[2]BASE!$D$253</definedName>
    <definedName name="_____CUA44" localSheetId="6">[2]BASE!$D$253</definedName>
    <definedName name="_____CUA44">[2]BASE!$D$253</definedName>
    <definedName name="_____LA124" localSheetId="5">[2]BASE!$D$64</definedName>
    <definedName name="_____LA124" localSheetId="6">[2]BASE!$D$64</definedName>
    <definedName name="_____LA124">[2]BASE!$D$64</definedName>
    <definedName name="_____LAC18">[4]BASE!$D$252</definedName>
    <definedName name="_____Po2">[5]REAJUSTESACTA1PROVI!#REF!</definedName>
    <definedName name="_____R84JH">[4]BASE!$D$172</definedName>
    <definedName name="_____REP43">[6]BASE!$D$136</definedName>
    <definedName name="_____TEP44" localSheetId="5">#N/A</definedName>
    <definedName name="_____TEP44" localSheetId="6">#N/A</definedName>
    <definedName name="_____TEP44" localSheetId="0">[15]BASE!$D$122</definedName>
    <definedName name="_____TEP44">#N/A</definedName>
    <definedName name="_____TPE1132" localSheetId="5">#REF!</definedName>
    <definedName name="_____TPE1132" localSheetId="6">#REF!</definedName>
    <definedName name="_____TPE1132">#REF!</definedName>
    <definedName name="_____TPE12" localSheetId="5">#REF!</definedName>
    <definedName name="_____TPE12" localSheetId="6">#REF!</definedName>
    <definedName name="_____TPE12">#REF!</definedName>
    <definedName name="_____TPE1331" localSheetId="5">#REF!</definedName>
    <definedName name="_____TPE1331" localSheetId="6">#REF!</definedName>
    <definedName name="_____TPE1331">#REF!</definedName>
    <definedName name="_____TPE1702" localSheetId="5">#REF!</definedName>
    <definedName name="_____TPE1702" localSheetId="6">#REF!</definedName>
    <definedName name="_____TPE1702">#REF!</definedName>
    <definedName name="_____TPE1703" localSheetId="5">#REF!</definedName>
    <definedName name="_____TPE1703" localSheetId="6">#REF!</definedName>
    <definedName name="_____TPE1703">#REF!</definedName>
    <definedName name="_____TPE1704" localSheetId="5">#REF!</definedName>
    <definedName name="_____TPE1704" localSheetId="6">#REF!</definedName>
    <definedName name="_____TPE1704">#REF!</definedName>
    <definedName name="_____TPE1706" localSheetId="5">#REF!</definedName>
    <definedName name="_____TPE1706" localSheetId="6">#REF!</definedName>
    <definedName name="_____TPE1706">#REF!</definedName>
    <definedName name="_____TPE1708" localSheetId="5">#REF!</definedName>
    <definedName name="_____TPE1708" localSheetId="6">#REF!</definedName>
    <definedName name="_____TPE1708">#REF!</definedName>
    <definedName name="_____TPE1710" localSheetId="5">#REF!</definedName>
    <definedName name="_____TPE1710" localSheetId="6">#REF!</definedName>
    <definedName name="_____TPE1710">#REF!</definedName>
    <definedName name="_____TPE1735" localSheetId="5">#REF!</definedName>
    <definedName name="_____TPE1735" localSheetId="6">#REF!</definedName>
    <definedName name="_____TPE1735">#REF!</definedName>
    <definedName name="_____TPE1763" localSheetId="5">#REF!</definedName>
    <definedName name="_____TPE1763" localSheetId="6">#REF!</definedName>
    <definedName name="_____TPE1763">#REF!</definedName>
    <definedName name="_____TPE1790" localSheetId="5">#REF!</definedName>
    <definedName name="_____TPE1790" localSheetId="6">#REF!</definedName>
    <definedName name="_____TPE1790">#REF!</definedName>
    <definedName name="_____TPF12" localSheetId="5">[2]BASE!$D$217</definedName>
    <definedName name="_____TPF12" localSheetId="6">[2]BASE!$D$217</definedName>
    <definedName name="_____TPF12">[2]BASE!$D$217</definedName>
    <definedName name="_____TUZ22" localSheetId="5">#REF!</definedName>
    <definedName name="_____TUZ22" localSheetId="6">#REF!</definedName>
    <definedName name="_____TUZ22">#REF!</definedName>
    <definedName name="_____TUZ36" localSheetId="5">#REF!</definedName>
    <definedName name="_____TUZ36" localSheetId="6">#REF!</definedName>
    <definedName name="_____TUZ36">#REF!</definedName>
    <definedName name="_____TZ2110" localSheetId="5">[2]BASE!$D$79</definedName>
    <definedName name="_____TZ2110" localSheetId="6">[2]BASE!$D$79</definedName>
    <definedName name="_____TZ2110">[2]BASE!$D$79</definedName>
    <definedName name="_____TZ213">[11]BASE!$D$89</definedName>
    <definedName name="_____TZ214" localSheetId="5">#REF!</definedName>
    <definedName name="_____TZ214" localSheetId="6">#REF!</definedName>
    <definedName name="_____TZ214" localSheetId="0">[15]BASE!$D$90</definedName>
    <definedName name="_____TZ214">#REF!</definedName>
    <definedName name="_____TZ216" localSheetId="5">#N/A</definedName>
    <definedName name="_____TZ216" localSheetId="6">#N/A</definedName>
    <definedName name="_____TZ216" localSheetId="0">[7]BASE!$D$87</definedName>
    <definedName name="_____TZ216">#N/A</definedName>
    <definedName name="_____TZ268">[4]BASE!$D$85</definedName>
    <definedName name="_____TZ323" localSheetId="5">#REF!</definedName>
    <definedName name="_____TZ323" localSheetId="6">#REF!</definedName>
    <definedName name="_____TZ323">#REF!</definedName>
    <definedName name="_____TZ324" localSheetId="5">#REF!</definedName>
    <definedName name="_____TZ324" localSheetId="6">#REF!</definedName>
    <definedName name="_____TZ324">#REF!</definedName>
    <definedName name="_____TZ32510" localSheetId="5">#REF!</definedName>
    <definedName name="_____TZ32510" localSheetId="6">#REF!</definedName>
    <definedName name="_____TZ32510">#REF!</definedName>
    <definedName name="____ADH12" localSheetId="5">[2]BASE!$D$218</definedName>
    <definedName name="____ADH12" localSheetId="6">[2]BASE!$D$218</definedName>
    <definedName name="____ADH12" localSheetId="0">[2]BASE!$D$341</definedName>
    <definedName name="____ADH12">[2]BASE!$D$218</definedName>
    <definedName name="____ADM12" localSheetId="5">[2]BASE!$D$219</definedName>
    <definedName name="____ADM12" localSheetId="6">[2]BASE!$D$219</definedName>
    <definedName name="____ADM12" localSheetId="0">[2]BASE!$D$342</definedName>
    <definedName name="____ADM12">[2]BASE!$D$219</definedName>
    <definedName name="____ADM4" localSheetId="5">[2]BASE!$D$120</definedName>
    <definedName name="____ADM4" localSheetId="6">[2]BASE!$D$120</definedName>
    <definedName name="____ADM4" localSheetId="0">[15]BASE!$D$141</definedName>
    <definedName name="____ADM4">[2]BASE!$D$120</definedName>
    <definedName name="____AIU1" localSheetId="5">#REF!</definedName>
    <definedName name="____AIU1" localSheetId="6">#REF!</definedName>
    <definedName name="____AIU1">#REF!</definedName>
    <definedName name="____AIU2">[3]BASE!$C$5</definedName>
    <definedName name="____AIU3">[11]BASE!$C$3</definedName>
    <definedName name="____BAZ10" localSheetId="5">[2]BASE!$D$270</definedName>
    <definedName name="____BAZ10" localSheetId="6">[2]BASE!$D$270</definedName>
    <definedName name="____BAZ10" localSheetId="0">[2]BASE!$D$394</definedName>
    <definedName name="____BAZ10">[2]BASE!$D$270</definedName>
    <definedName name="____BLO20" localSheetId="5">[2]BASE!$D$56</definedName>
    <definedName name="____BLO20" localSheetId="6">[2]BASE!$D$56</definedName>
    <definedName name="____BLO20" localSheetId="0">[1]BASE!$D$56</definedName>
    <definedName name="____BLO20">[2]BASE!$D$56</definedName>
    <definedName name="____CAN28" localSheetId="5">[2]BASE!$D$315</definedName>
    <definedName name="____CAN28" localSheetId="6">[2]BASE!$D$315</definedName>
    <definedName name="____CAN28" localSheetId="0">[2]BASE!$D$450</definedName>
    <definedName name="____CAN28">[2]BASE!$D$315</definedName>
    <definedName name="____Cod1" localSheetId="5">#REF!</definedName>
    <definedName name="____Cod1" localSheetId="6">#REF!</definedName>
    <definedName name="____Cod1">#REF!</definedName>
    <definedName name="____CUA44" localSheetId="5">[2]BASE!$D$253</definedName>
    <definedName name="____CUA44" localSheetId="6">[2]BASE!$D$253</definedName>
    <definedName name="____CUA44" localSheetId="0">[2]BASE!$D$377</definedName>
    <definedName name="____CUA44">[2]BASE!$D$253</definedName>
    <definedName name="____FYB02" localSheetId="10">[2]BASE!$D$360</definedName>
    <definedName name="____FYB02">[2]BASE!$D$360</definedName>
    <definedName name="____FYB03">[15]BASE!$D$399</definedName>
    <definedName name="____LA124" localSheetId="5">[2]BASE!$D$64</definedName>
    <definedName name="____LA124" localSheetId="6">[2]BASE!$D$64</definedName>
    <definedName name="____LA124" localSheetId="0">[2]BASE!$D$70</definedName>
    <definedName name="____LA124">[2]BASE!$D$64</definedName>
    <definedName name="____LAC18" localSheetId="0">[2]BASE!$D$386</definedName>
    <definedName name="____LAC18">[4]BASE!$D$252</definedName>
    <definedName name="____Pa1">#REF!</definedName>
    <definedName name="____Pa2">#REF!</definedName>
    <definedName name="____Pa3">#REF!</definedName>
    <definedName name="____Pa4">#REF!</definedName>
    <definedName name="____Po2">[5]REAJUSTESACTA1PROVI!#REF!</definedName>
    <definedName name="____R84JH" localSheetId="0">[2]BASE!$D$293</definedName>
    <definedName name="____R84JH">[4]BASE!$D$172</definedName>
    <definedName name="____REP43">[6]BASE!$D$136</definedName>
    <definedName name="____TEP44" localSheetId="5">#N/A</definedName>
    <definedName name="____TEP44" localSheetId="6">#N/A</definedName>
    <definedName name="____TEP44" localSheetId="0">[11]BASE!$D$122</definedName>
    <definedName name="____TEP44">#N/A</definedName>
    <definedName name="____TPE1132" localSheetId="5">#N/A</definedName>
    <definedName name="____TPE1132" localSheetId="6">#N/A</definedName>
    <definedName name="____TPE1132">#N/A</definedName>
    <definedName name="____TPE12" localSheetId="5">#REF!</definedName>
    <definedName name="____TPE12" localSheetId="6">#REF!</definedName>
    <definedName name="____TPE12">#REF!</definedName>
    <definedName name="____TPE1331" localSheetId="5">#N/A</definedName>
    <definedName name="____TPE1331" localSheetId="6">#N/A</definedName>
    <definedName name="____TPE1331">#N/A</definedName>
    <definedName name="____TPE1702" localSheetId="5">#N/A</definedName>
    <definedName name="____TPE1702" localSheetId="6">#N/A</definedName>
    <definedName name="____TPE1702">#N/A</definedName>
    <definedName name="____TPE1703" localSheetId="5">#N/A</definedName>
    <definedName name="____TPE1703" localSheetId="6">#N/A</definedName>
    <definedName name="____TPE1703">#N/A</definedName>
    <definedName name="____TPE1704" localSheetId="5">#N/A</definedName>
    <definedName name="____TPE1704" localSheetId="6">#N/A</definedName>
    <definedName name="____TPE1704">#N/A</definedName>
    <definedName name="____TPE1706" localSheetId="5">#N/A</definedName>
    <definedName name="____TPE1706" localSheetId="6">#N/A</definedName>
    <definedName name="____TPE1706">#N/A</definedName>
    <definedName name="____TPE1708" localSheetId="5">#N/A</definedName>
    <definedName name="____TPE1708" localSheetId="6">#N/A</definedName>
    <definedName name="____TPE1708">#N/A</definedName>
    <definedName name="____TPE1710" localSheetId="5">#N/A</definedName>
    <definedName name="____TPE1710" localSheetId="6">#N/A</definedName>
    <definedName name="____TPE1710">#N/A</definedName>
    <definedName name="____TPE1735" localSheetId="5">#N/A</definedName>
    <definedName name="____TPE1735" localSheetId="6">#N/A</definedName>
    <definedName name="____TPE1735">#N/A</definedName>
    <definedName name="____TPE1763" localSheetId="5">#N/A</definedName>
    <definedName name="____TPE1763" localSheetId="6">#N/A</definedName>
    <definedName name="____TPE1763">#N/A</definedName>
    <definedName name="____TPE1790" localSheetId="5">#N/A</definedName>
    <definedName name="____TPE1790" localSheetId="6">#N/A</definedName>
    <definedName name="____TPE1790">#N/A</definedName>
    <definedName name="____TPF12" localSheetId="5">[2]BASE!$D$217</definedName>
    <definedName name="____TPF12" localSheetId="6">[2]BASE!$D$217</definedName>
    <definedName name="____TPF12" localSheetId="0">[2]BASE!$D$340</definedName>
    <definedName name="____TPF12">[2]BASE!$D$217</definedName>
    <definedName name="____TUZ22" localSheetId="5">'[2]BASE ORIGINAL'!#REF!</definedName>
    <definedName name="____TUZ22" localSheetId="6">'[2]BASE ORIGINAL'!#REF!</definedName>
    <definedName name="____TUZ22">'[2]BASE ORIGINAL'!#REF!</definedName>
    <definedName name="____TUZ36" localSheetId="5">'[2]BASE ORIGINAL'!#REF!</definedName>
    <definedName name="____TUZ36" localSheetId="6">'[2]BASE ORIGINAL'!#REF!</definedName>
    <definedName name="____TUZ36">'[2]BASE ORIGINAL'!#REF!</definedName>
    <definedName name="____TZ2110" localSheetId="5">[2]BASE!$D$79</definedName>
    <definedName name="____TZ2110" localSheetId="6">[2]BASE!$D$79</definedName>
    <definedName name="____TZ2110">[2]BASE!$D$79</definedName>
    <definedName name="____TZ212" localSheetId="10">[2]BASE!$D$83</definedName>
    <definedName name="____TZ212">[2]BASE!$D$83</definedName>
    <definedName name="____TZ213">[11]BASE!$D$89</definedName>
    <definedName name="____TZ214" localSheetId="5">#N/A</definedName>
    <definedName name="____TZ214" localSheetId="6">#N/A</definedName>
    <definedName name="____TZ214" localSheetId="0">[11]BASE!$D$90</definedName>
    <definedName name="____TZ214">#N/A</definedName>
    <definedName name="____TZ216" localSheetId="5">#N/A</definedName>
    <definedName name="____TZ216" localSheetId="6">#N/A</definedName>
    <definedName name="____TZ216" localSheetId="0">[16]BASE!$D$88</definedName>
    <definedName name="____TZ216">#N/A</definedName>
    <definedName name="____TZ263">[15]BASE!$D$99</definedName>
    <definedName name="____TZ268" localSheetId="0">[2]BASE!$D$98</definedName>
    <definedName name="____TZ268">[4]BASE!$D$85</definedName>
    <definedName name="____TZ323" localSheetId="5">'[2]BASE ORIGINAL'!#REF!</definedName>
    <definedName name="____TZ323" localSheetId="6">'[2]BASE ORIGINAL'!#REF!</definedName>
    <definedName name="____TZ323">'[2]BASE ORIGINAL'!#REF!</definedName>
    <definedName name="____TZ324" localSheetId="5">'[2]BASE ORIGINAL'!#REF!</definedName>
    <definedName name="____TZ324" localSheetId="6">'[2]BASE ORIGINAL'!#REF!</definedName>
    <definedName name="____TZ324">'[2]BASE ORIGINAL'!#REF!</definedName>
    <definedName name="____TZ32510" localSheetId="5">#N/A</definedName>
    <definedName name="____TZ32510" localSheetId="6">#N/A</definedName>
    <definedName name="____TZ32510">#N/A</definedName>
    <definedName name="___ADH12" localSheetId="5">[2]BASE!$D$218</definedName>
    <definedName name="___ADH12" localSheetId="6">[2]BASE!$D$218</definedName>
    <definedName name="___ADH12" localSheetId="0">[1]BASE!$D$218</definedName>
    <definedName name="___ADH12">[2]BASE!$D$218</definedName>
    <definedName name="___ADM12" localSheetId="5">[2]BASE!$D$219</definedName>
    <definedName name="___ADM12" localSheetId="6">[2]BASE!$D$219</definedName>
    <definedName name="___ADM12" localSheetId="0">[1]BASE!$D$219</definedName>
    <definedName name="___ADM12">[2]BASE!$D$219</definedName>
    <definedName name="___ADM2" localSheetId="10">[2]BASE!$D$131</definedName>
    <definedName name="___ADM2">[2]BASE!$D$131</definedName>
    <definedName name="___ADM4" localSheetId="5">#REF!</definedName>
    <definedName name="___ADM4" localSheetId="6">#REF!</definedName>
    <definedName name="___ADM4" localSheetId="0">#REF!</definedName>
    <definedName name="___ADM4">#REF!</definedName>
    <definedName name="___AIU1" localSheetId="5">#REF!</definedName>
    <definedName name="___AIU1" localSheetId="6">#REF!</definedName>
    <definedName name="___AIU1" localSheetId="0">#REF!</definedName>
    <definedName name="___AIU1">#REF!</definedName>
    <definedName name="___AIU2" localSheetId="0">[17]BASE!$C$5</definedName>
    <definedName name="___AIU2">[3]BASE!$C$5</definedName>
    <definedName name="___AIU3" localSheetId="10">#N/A</definedName>
    <definedName name="___AIU3">#N/A</definedName>
    <definedName name="___BAZ10" localSheetId="5">[2]BASE!$D$270</definedName>
    <definedName name="___BAZ10" localSheetId="6">[2]BASE!$D$270</definedName>
    <definedName name="___BAZ10" localSheetId="0">[1]BASE!$D$270</definedName>
    <definedName name="___BAZ10">[2]BASE!$D$270</definedName>
    <definedName name="___BLO20" localSheetId="5">[2]BASE!$D$56</definedName>
    <definedName name="___BLO20" localSheetId="6">[2]BASE!$D$56</definedName>
    <definedName name="___BLO20" localSheetId="0">[18]BASE!$D$64</definedName>
    <definedName name="___BLO20">[2]BASE!$D$56</definedName>
    <definedName name="___C452JH" localSheetId="10">[2]BASE!$D$318</definedName>
    <definedName name="___C452JH">[2]BASE!$D$318</definedName>
    <definedName name="___CAN28" localSheetId="5">[2]BASE!$D$315</definedName>
    <definedName name="___CAN28" localSheetId="6">[2]BASE!$D$315</definedName>
    <definedName name="___CAN28" localSheetId="0">[1]BASE!$D$315</definedName>
    <definedName name="___CAN28">[2]BASE!$D$315</definedName>
    <definedName name="___Cod1" localSheetId="5">#REF!</definedName>
    <definedName name="___Cod1" localSheetId="6">#REF!</definedName>
    <definedName name="___Cod1" localSheetId="0">#REF!</definedName>
    <definedName name="___Cod1">#REF!</definedName>
    <definedName name="___CUA44" localSheetId="5">[2]BASE!$D$253</definedName>
    <definedName name="___CUA44" localSheetId="6">[2]BASE!$D$253</definedName>
    <definedName name="___CUA44" localSheetId="0">[1]BASE!$D$253</definedName>
    <definedName name="___CUA44">[2]BASE!$D$253</definedName>
    <definedName name="___ETF315" localSheetId="10">[2]BASE!$D$461</definedName>
    <definedName name="___ETF315">[2]BASE!$D$461</definedName>
    <definedName name="___FYB02">[11]BASE!$D$397</definedName>
    <definedName name="___LA124" localSheetId="5">[2]BASE!$D$64</definedName>
    <definedName name="___LA124" localSheetId="6">[2]BASE!$D$64</definedName>
    <definedName name="___LA124" localSheetId="0">[1]BASE!$D$64</definedName>
    <definedName name="___LA124">[2]BASE!$D$64</definedName>
    <definedName name="___LAC18" localSheetId="0">[4]BASE!$D$252</definedName>
    <definedName name="___LAC18">[4]BASE!$D$252</definedName>
    <definedName name="___Pa1" localSheetId="5">#REF!</definedName>
    <definedName name="___Pa1" localSheetId="6">#REF!</definedName>
    <definedName name="___Pa1" localSheetId="0">#N/A</definedName>
    <definedName name="___Pa1">#REF!</definedName>
    <definedName name="___Pa2" localSheetId="5">#REF!</definedName>
    <definedName name="___Pa2" localSheetId="6">#REF!</definedName>
    <definedName name="___Pa2" localSheetId="0">#N/A</definedName>
    <definedName name="___Pa2">#REF!</definedName>
    <definedName name="___Pa3" localSheetId="5">#REF!</definedName>
    <definedName name="___Pa3" localSheetId="6">#REF!</definedName>
    <definedName name="___Pa3" localSheetId="0">#N/A</definedName>
    <definedName name="___Pa3">#REF!</definedName>
    <definedName name="___Pa4" localSheetId="5">#REF!</definedName>
    <definedName name="___Pa4" localSheetId="6">#REF!</definedName>
    <definedName name="___Pa4" localSheetId="0">#N/A</definedName>
    <definedName name="___Pa4">#REF!</definedName>
    <definedName name="___Po2" localSheetId="0">[5]REAJUSTESACTA1PROVI!#REF!</definedName>
    <definedName name="___Po2">[5]REAJUSTESACTA1PROVI!#REF!</definedName>
    <definedName name="___R84JH" localSheetId="0">[4]BASE!$D$172</definedName>
    <definedName name="___R84JH">[4]BASE!$D$172</definedName>
    <definedName name="___REP43">[6]BASE!$D$136</definedName>
    <definedName name="___TEP44" localSheetId="5">#N/A</definedName>
    <definedName name="___TEP44" localSheetId="6">#N/A</definedName>
    <definedName name="___TEP44" localSheetId="0">[4]BASE!$D$102</definedName>
    <definedName name="___TEP44">#N/A</definedName>
    <definedName name="___TPE1132" localSheetId="5">#N/A</definedName>
    <definedName name="___TPE1132" localSheetId="6">#N/A</definedName>
    <definedName name="___TPE1132" localSheetId="0">[2]BASE!#REF!</definedName>
    <definedName name="___TPE1132">#N/A</definedName>
    <definedName name="___TPE12" localSheetId="5">#REF!</definedName>
    <definedName name="___TPE12" localSheetId="6">#REF!</definedName>
    <definedName name="___TPE12" localSheetId="0">#REF!</definedName>
    <definedName name="___TPE12">#REF!</definedName>
    <definedName name="___TPE1331" localSheetId="5">#N/A</definedName>
    <definedName name="___TPE1331" localSheetId="6">#N/A</definedName>
    <definedName name="___TPE1331" localSheetId="0">[2]BASE!#REF!</definedName>
    <definedName name="___TPE1331">#N/A</definedName>
    <definedName name="___TPE1702" localSheetId="5">#N/A</definedName>
    <definedName name="___TPE1702" localSheetId="6">#N/A</definedName>
    <definedName name="___TPE1702" localSheetId="0">[2]BASE!#REF!</definedName>
    <definedName name="___TPE1702">#N/A</definedName>
    <definedName name="___TPE1703" localSheetId="5">#N/A</definedName>
    <definedName name="___TPE1703" localSheetId="6">#N/A</definedName>
    <definedName name="___TPE1703" localSheetId="0">[2]BASE!#REF!</definedName>
    <definedName name="___TPE1703">#N/A</definedName>
    <definedName name="___TPE1704" localSheetId="5">#N/A</definedName>
    <definedName name="___TPE1704" localSheetId="6">#N/A</definedName>
    <definedName name="___TPE1704" localSheetId="0">[2]BASE!#REF!</definedName>
    <definedName name="___TPE1704">#N/A</definedName>
    <definedName name="___TPE1706" localSheetId="5">#N/A</definedName>
    <definedName name="___TPE1706" localSheetId="6">#N/A</definedName>
    <definedName name="___TPE1706" localSheetId="0">[2]BASE!#REF!</definedName>
    <definedName name="___TPE1706">#N/A</definedName>
    <definedName name="___TPE1708" localSheetId="5">#N/A</definedName>
    <definedName name="___TPE1708" localSheetId="6">#N/A</definedName>
    <definedName name="___TPE1708" localSheetId="0">[2]BASE!#REF!</definedName>
    <definedName name="___TPE1708">#N/A</definedName>
    <definedName name="___TPE1710" localSheetId="5">#N/A</definedName>
    <definedName name="___TPE1710" localSheetId="6">#N/A</definedName>
    <definedName name="___TPE1710" localSheetId="0">[2]BASE!#REF!</definedName>
    <definedName name="___TPE1710">#N/A</definedName>
    <definedName name="___TPE1735" localSheetId="5">#N/A</definedName>
    <definedName name="___TPE1735" localSheetId="6">#N/A</definedName>
    <definedName name="___TPE1735" localSheetId="0">[2]BASE!#REF!</definedName>
    <definedName name="___TPE1735">#N/A</definedName>
    <definedName name="___TPE1763" localSheetId="5">#N/A</definedName>
    <definedName name="___TPE1763" localSheetId="6">#N/A</definedName>
    <definedName name="___TPE1763" localSheetId="0">[2]BASE!#REF!</definedName>
    <definedName name="___TPE1763">#N/A</definedName>
    <definedName name="___TPE1790" localSheetId="5">#N/A</definedName>
    <definedName name="___TPE1790" localSheetId="6">#N/A</definedName>
    <definedName name="___TPE1790" localSheetId="0">[2]BASE!#REF!</definedName>
    <definedName name="___TPE1790">#N/A</definedName>
    <definedName name="___TPF12" localSheetId="5">[2]BASE!$D$217</definedName>
    <definedName name="___TPF12" localSheetId="6">[2]BASE!$D$217</definedName>
    <definedName name="___TPF12" localSheetId="0">[1]BASE!$D$217</definedName>
    <definedName name="___TPF12">[2]BASE!$D$217</definedName>
    <definedName name="___TPN1003" localSheetId="10">[2]BASE!$D$151</definedName>
    <definedName name="___TPN1003">[2]BASE!$D$151</definedName>
    <definedName name="___TUZ22" localSheetId="5">'[2]BASE ORIGINAL'!#REF!</definedName>
    <definedName name="___TUZ22" localSheetId="6">'[2]BASE ORIGINAL'!#REF!</definedName>
    <definedName name="___TUZ22" localSheetId="0">[2]BASE!#REF!</definedName>
    <definedName name="___TUZ22">'[2]BASE ORIGINAL'!#REF!</definedName>
    <definedName name="___TUZ36" localSheetId="5">'[2]BASE ORIGINAL'!#REF!</definedName>
    <definedName name="___TUZ36" localSheetId="6">'[2]BASE ORIGINAL'!#REF!</definedName>
    <definedName name="___TUZ36" localSheetId="0">[2]BASE!#REF!</definedName>
    <definedName name="___TUZ36">'[2]BASE ORIGINAL'!#REF!</definedName>
    <definedName name="___TZ2110" localSheetId="5">[2]BASE!$D$79</definedName>
    <definedName name="___TZ2110" localSheetId="6">[2]BASE!$D$79</definedName>
    <definedName name="___TZ2110" localSheetId="0">[2]BASE!$D$89</definedName>
    <definedName name="___TZ2110">[2]BASE!$D$79</definedName>
    <definedName name="___TZ212">[11]BASE!$D$86</definedName>
    <definedName name="___TZ213">[11]BASE!$D$89</definedName>
    <definedName name="___TZ214" localSheetId="5">#N/A</definedName>
    <definedName name="___TZ214" localSheetId="6">#N/A</definedName>
    <definedName name="___TZ214" localSheetId="0">[16]BASE!$D$87</definedName>
    <definedName name="___TZ214">#N/A</definedName>
    <definedName name="___TZ216" localSheetId="5">#N/A</definedName>
    <definedName name="___TZ216" localSheetId="6">#N/A</definedName>
    <definedName name="___TZ216" localSheetId="0">[4]BASE!$D$76</definedName>
    <definedName name="___TZ216">#N/A</definedName>
    <definedName name="___TZ268" localSheetId="0">[4]BASE!$D$85</definedName>
    <definedName name="___TZ268">[4]BASE!$D$85</definedName>
    <definedName name="___TZ323" localSheetId="5">'[2]BASE ORIGINAL'!#REF!</definedName>
    <definedName name="___TZ323" localSheetId="6">'[2]BASE ORIGINAL'!#REF!</definedName>
    <definedName name="___TZ323" localSheetId="0">[2]BASE!#REF!</definedName>
    <definedName name="___TZ323">'[2]BASE ORIGINAL'!#REF!</definedName>
    <definedName name="___TZ324" localSheetId="5">'[2]BASE ORIGINAL'!#REF!</definedName>
    <definedName name="___TZ324" localSheetId="6">'[2]BASE ORIGINAL'!#REF!</definedName>
    <definedName name="___TZ324" localSheetId="0">[2]BASE!#REF!</definedName>
    <definedName name="___TZ324">'[2]BASE ORIGINAL'!#REF!</definedName>
    <definedName name="___TZ32510" localSheetId="5">#N/A</definedName>
    <definedName name="___TZ32510" localSheetId="6">#N/A</definedName>
    <definedName name="___TZ32510" localSheetId="0">[2]BASE!$D$106</definedName>
    <definedName name="___TZ32510">#N/A</definedName>
    <definedName name="__ADH12" localSheetId="5">[2]BASE!$D$218</definedName>
    <definedName name="__ADH12" localSheetId="6">[2]BASE!$D$218</definedName>
    <definedName name="__ADH12" localSheetId="0">[4]BASE!$D$209</definedName>
    <definedName name="__ADH12" localSheetId="1">[1]BASE!$D$218</definedName>
    <definedName name="__ADH12">[2]BASE!$D$218</definedName>
    <definedName name="__ADM12" localSheetId="5">[2]BASE!$D$219</definedName>
    <definedName name="__ADM12" localSheetId="6">[2]BASE!$D$219</definedName>
    <definedName name="__ADM12" localSheetId="0">[4]BASE!$D$210</definedName>
    <definedName name="__ADM12" localSheetId="1">[1]BASE!$D$219</definedName>
    <definedName name="__ADM12">[2]BASE!$D$219</definedName>
    <definedName name="__ADM2" localSheetId="10">[16]BASE!$D$132</definedName>
    <definedName name="__ADM2">[16]BASE!$D$132</definedName>
    <definedName name="__ADM3" localSheetId="10">[16]BASE!$D$133</definedName>
    <definedName name="__ADM3">[16]BASE!$D$133</definedName>
    <definedName name="__ADM4" localSheetId="5">#REF!</definedName>
    <definedName name="__ADM4" localSheetId="6">#REF!</definedName>
    <definedName name="__ADM4" localSheetId="0">#REF!</definedName>
    <definedName name="__ADM4" localSheetId="1">[1]BASE!$D$120</definedName>
    <definedName name="__ADM4">#REF!</definedName>
    <definedName name="__AIU1" localSheetId="5">#REF!</definedName>
    <definedName name="__AIU1" localSheetId="6">#REF!</definedName>
    <definedName name="__AIU1" localSheetId="0">#REF!</definedName>
    <definedName name="__AIU1">#REF!</definedName>
    <definedName name="__AIU2" localSheetId="0">[3]BASE!$C$5</definedName>
    <definedName name="__AIU2">[3]BASE!$C$5</definedName>
    <definedName name="__AIU3" localSheetId="10">#N/A</definedName>
    <definedName name="__AIU3">#N/A</definedName>
    <definedName name="__AIU5" localSheetId="5">#N/A</definedName>
    <definedName name="__AIU5" localSheetId="6">#N/A</definedName>
    <definedName name="__AIU5" localSheetId="0">#N/A</definedName>
    <definedName name="__AIU5">#N/A</definedName>
    <definedName name="__BAZ10" localSheetId="5">[2]BASE!$D$270</definedName>
    <definedName name="__BAZ10" localSheetId="6">[2]BASE!$D$270</definedName>
    <definedName name="__BAZ10" localSheetId="0">[4]BASE!$D$260</definedName>
    <definedName name="__BAZ10" localSheetId="1">[1]BASE!$D$270</definedName>
    <definedName name="__BAZ10">[2]BASE!$D$270</definedName>
    <definedName name="__BLO20" localSheetId="5">[2]BASE!$D$56</definedName>
    <definedName name="__BLO20" localSheetId="6">[2]BASE!$D$56</definedName>
    <definedName name="__BLO20" localSheetId="0">[4]BASE!$D$56</definedName>
    <definedName name="__BLO20" localSheetId="1">[1]BASE!$D$56</definedName>
    <definedName name="__BLO20">[2]BASE!$D$56</definedName>
    <definedName name="__C452JH">[19]BASE!$D$342</definedName>
    <definedName name="__CAN28" localSheetId="5">[2]BASE!$D$315</definedName>
    <definedName name="__CAN28" localSheetId="6">[2]BASE!$D$315</definedName>
    <definedName name="__CAN28" localSheetId="0">[4]BASE!$D$305</definedName>
    <definedName name="__CAN28" localSheetId="1">[1]BASE!$D$315</definedName>
    <definedName name="__CAN28">[2]BASE!$D$315</definedName>
    <definedName name="__Cod1" localSheetId="5">#REF!</definedName>
    <definedName name="__Cod1" localSheetId="6">#REF!</definedName>
    <definedName name="__Cod1" localSheetId="0">#N/A</definedName>
    <definedName name="__Cod1">#REF!</definedName>
    <definedName name="__CUA44" localSheetId="5">[2]BASE!$D$253</definedName>
    <definedName name="__CUA44" localSheetId="6">[2]BASE!$D$253</definedName>
    <definedName name="__CUA44" localSheetId="0">[4]BASE!$D$244</definedName>
    <definedName name="__CUA44" localSheetId="1">[1]BASE!$D$253</definedName>
    <definedName name="__CUA44">[2]BASE!$D$253</definedName>
    <definedName name="__ETF315">[20]BASE!$D$493</definedName>
    <definedName name="__FYB02">[11]BASE!$D$397</definedName>
    <definedName name="__FYB03" localSheetId="10">[2]BASE!$D$361</definedName>
    <definedName name="__FYB03">[2]BASE!$D$361</definedName>
    <definedName name="__LA124" localSheetId="5">[2]BASE!$D$64</definedName>
    <definedName name="__LA124" localSheetId="6">[2]BASE!$D$64</definedName>
    <definedName name="__LA124" localSheetId="0">[4]BASE!$D$64</definedName>
    <definedName name="__LA124" localSheetId="1">[1]BASE!$D$64</definedName>
    <definedName name="__LA124">[2]BASE!$D$64</definedName>
    <definedName name="__LAC18" localSheetId="0">[4]BASE!$D$252</definedName>
    <definedName name="__LAC18">[4]BASE!$D$252</definedName>
    <definedName name="__Pa1" localSheetId="5">#REF!</definedName>
    <definedName name="__Pa1" localSheetId="6">#REF!</definedName>
    <definedName name="__Pa1" localSheetId="0">#REF!</definedName>
    <definedName name="__Pa1">#REF!</definedName>
    <definedName name="__Pa2" localSheetId="5">#REF!</definedName>
    <definedName name="__Pa2" localSheetId="6">#REF!</definedName>
    <definedName name="__Pa2" localSheetId="0">#REF!</definedName>
    <definedName name="__Pa2">#REF!</definedName>
    <definedName name="__Pa3" localSheetId="5">#REF!</definedName>
    <definedName name="__Pa3" localSheetId="6">#REF!</definedName>
    <definedName name="__Pa3" localSheetId="0">#REF!</definedName>
    <definedName name="__Pa3">#REF!</definedName>
    <definedName name="__Pa4" localSheetId="5">#REF!</definedName>
    <definedName name="__Pa4" localSheetId="6">#REF!</definedName>
    <definedName name="__Pa4" localSheetId="0">#REF!</definedName>
    <definedName name="__Pa4">#REF!</definedName>
    <definedName name="__Po2" localSheetId="0">[5]REAJUSTESACTA1PROVI!#REF!</definedName>
    <definedName name="__Po2">[5]REAJUSTESACTA1PROVI!#REF!</definedName>
    <definedName name="__R32JH" localSheetId="10">[2]BASE!$D$299</definedName>
    <definedName name="__R32JH">[2]BASE!$D$299</definedName>
    <definedName name="__R42JH" localSheetId="10">[2]BASE!$D$298</definedName>
    <definedName name="__R42JH">[2]BASE!$D$298</definedName>
    <definedName name="__R43JH" localSheetId="10">[2]BASE!$D$297</definedName>
    <definedName name="__R43JH">[2]BASE!$D$297</definedName>
    <definedName name="__R84JH" localSheetId="0">[4]BASE!$D$172</definedName>
    <definedName name="__R84JH">[4]BASE!$D$172</definedName>
    <definedName name="__REP43">[6]BASE!$D$136</definedName>
    <definedName name="__ST206" localSheetId="10">[2]BASE!$D$251</definedName>
    <definedName name="__ST206">[2]BASE!$D$251</definedName>
    <definedName name="__SY126" localSheetId="10">[2]BASE!$D$260</definedName>
    <definedName name="__SY126">[2]BASE!$D$260</definedName>
    <definedName name="__SY186" localSheetId="10">[2]BASE!$D$263</definedName>
    <definedName name="__SY186">[2]BASE!$D$263</definedName>
    <definedName name="__TEE32" localSheetId="10">[2]BASE!$D$178</definedName>
    <definedName name="__TEE32">[2]BASE!$D$178</definedName>
    <definedName name="__TEE33">[21]BASE!$D$187</definedName>
    <definedName name="__TEP44" localSheetId="5">#REF!</definedName>
    <definedName name="__TEP44" localSheetId="6">#REF!</definedName>
    <definedName name="__TEP44" localSheetId="0">#REF!</definedName>
    <definedName name="__TEP44">#REF!</definedName>
    <definedName name="__TES66" localSheetId="10">[2]BASE!$D$206</definedName>
    <definedName name="__TES66">[2]BASE!$D$206</definedName>
    <definedName name="__TPE1132" localSheetId="5">#N/A</definedName>
    <definedName name="__TPE1132" localSheetId="6">#N/A</definedName>
    <definedName name="__TPE1132" localSheetId="0">[7]BASE!#REF!</definedName>
    <definedName name="__TPE1132">#N/A</definedName>
    <definedName name="__TPE12" localSheetId="5">#REF!</definedName>
    <definedName name="__TPE12" localSheetId="6">#REF!</definedName>
    <definedName name="__TPE12" localSheetId="0">#REF!</definedName>
    <definedName name="__TPE12">#REF!</definedName>
    <definedName name="__TPE1331" localSheetId="5">#N/A</definedName>
    <definedName name="__TPE1331" localSheetId="6">#N/A</definedName>
    <definedName name="__TPE1331" localSheetId="0">[7]BASE!#REF!</definedName>
    <definedName name="__TPE1331">#N/A</definedName>
    <definedName name="__TPE1702" localSheetId="5">#N/A</definedName>
    <definedName name="__TPE1702" localSheetId="6">#N/A</definedName>
    <definedName name="__TPE1702" localSheetId="0">[7]BASE!#REF!</definedName>
    <definedName name="__TPE1702">#N/A</definedName>
    <definedName name="__TPE1703" localSheetId="5">#N/A</definedName>
    <definedName name="__TPE1703" localSheetId="6">#N/A</definedName>
    <definedName name="__TPE1703" localSheetId="0">[7]BASE!#REF!</definedName>
    <definedName name="__TPE1703">#N/A</definedName>
    <definedName name="__TPE1704" localSheetId="5">#N/A</definedName>
    <definedName name="__TPE1704" localSheetId="6">#N/A</definedName>
    <definedName name="__TPE1704" localSheetId="0">[7]BASE!#REF!</definedName>
    <definedName name="__TPE1704">#N/A</definedName>
    <definedName name="__TPE1706" localSheetId="5">#N/A</definedName>
    <definedName name="__TPE1706" localSheetId="6">#N/A</definedName>
    <definedName name="__TPE1706" localSheetId="0">[7]BASE!#REF!</definedName>
    <definedName name="__TPE1706">#N/A</definedName>
    <definedName name="__TPE1708" localSheetId="5">#N/A</definedName>
    <definedName name="__TPE1708" localSheetId="6">#N/A</definedName>
    <definedName name="__TPE1708" localSheetId="0">[7]BASE!#REF!</definedName>
    <definedName name="__TPE1708">#N/A</definedName>
    <definedName name="__TPE1710" localSheetId="5">#N/A</definedName>
    <definedName name="__TPE1710" localSheetId="6">#N/A</definedName>
    <definedName name="__TPE1710" localSheetId="0">[7]BASE!#REF!</definedName>
    <definedName name="__TPE1710">#N/A</definedName>
    <definedName name="__TPE1735" localSheetId="5">#N/A</definedName>
    <definedName name="__TPE1735" localSheetId="6">#N/A</definedName>
    <definedName name="__TPE1735" localSheetId="0">[7]BASE!#REF!</definedName>
    <definedName name="__TPE1735">#N/A</definedName>
    <definedName name="__TPE1763" localSheetId="5">#N/A</definedName>
    <definedName name="__TPE1763" localSheetId="6">#N/A</definedName>
    <definedName name="__TPE1763" localSheetId="0">[7]BASE!#REF!</definedName>
    <definedName name="__TPE1763">#N/A</definedName>
    <definedName name="__TPE1790" localSheetId="5">#N/A</definedName>
    <definedName name="__TPE1790" localSheetId="6">#N/A</definedName>
    <definedName name="__TPE1790" localSheetId="0">[7]BASE!#REF!</definedName>
    <definedName name="__TPE1790">#N/A</definedName>
    <definedName name="__TPE8016" localSheetId="10">[2]BASE!$D$146</definedName>
    <definedName name="__TPE8016">[2]BASE!$D$146</definedName>
    <definedName name="__TPF12" localSheetId="5">[2]BASE!$D$217</definedName>
    <definedName name="__TPF12" localSheetId="6">[2]BASE!$D$217</definedName>
    <definedName name="__TPF12" localSheetId="0">[4]BASE!$D$208</definedName>
    <definedName name="__TPF12" localSheetId="1">[1]BASE!$D$217</definedName>
    <definedName name="__TPF12">[2]BASE!$D$217</definedName>
    <definedName name="__TPN1002" localSheetId="10">[2]BASE!$D$150</definedName>
    <definedName name="__TPN1002">[2]BASE!$D$150</definedName>
    <definedName name="__TPN1003">[21]BASE!$D$158</definedName>
    <definedName name="__TPN1606" localSheetId="10">[2]BASE!$D$171</definedName>
    <definedName name="__TPN1606">[2]BASE!$D$171</definedName>
    <definedName name="__TUZ22" localSheetId="5">'[2]BASE ORIGINAL'!#REF!</definedName>
    <definedName name="__TUZ22" localSheetId="6">'[2]BASE ORIGINAL'!#REF!</definedName>
    <definedName name="__TUZ22" localSheetId="0">'[9]BASE ORIGINAL'!#REF!</definedName>
    <definedName name="__TUZ22">'[2]BASE ORIGINAL'!#REF!</definedName>
    <definedName name="__TUZ36" localSheetId="5">'[2]BASE ORIGINAL'!#REF!</definedName>
    <definedName name="__TUZ36" localSheetId="6">'[2]BASE ORIGINAL'!#REF!</definedName>
    <definedName name="__TUZ36" localSheetId="0">'[9]BASE ORIGINAL'!#REF!</definedName>
    <definedName name="__TUZ36">'[2]BASE ORIGINAL'!#REF!</definedName>
    <definedName name="__TZ2110" localSheetId="5">[2]BASE!$D$79</definedName>
    <definedName name="__TZ2110" localSheetId="6">[2]BASE!$D$79</definedName>
    <definedName name="__TZ2110" localSheetId="0">[1]BASE!$D$79</definedName>
    <definedName name="__TZ2110" localSheetId="1">[1]BASE!$D$79</definedName>
    <definedName name="__TZ2110">[2]BASE!$D$79</definedName>
    <definedName name="__TZ2114" localSheetId="10">[2]BASE!$D$91</definedName>
    <definedName name="__TZ2114">[2]BASE!$D$91</definedName>
    <definedName name="__TZ212" localSheetId="5">[22]BASE!$D$84</definedName>
    <definedName name="__TZ212" localSheetId="6">[22]BASE!$D$84</definedName>
    <definedName name="__TZ212" localSheetId="0">[16]BASE!$D$84</definedName>
    <definedName name="__TZ212">[22]BASE!$D$84</definedName>
    <definedName name="__TZ213">[23]BASE!$D$89</definedName>
    <definedName name="__TZ214" localSheetId="5">#N/A</definedName>
    <definedName name="__TZ214" localSheetId="6">#N/A</definedName>
    <definedName name="__TZ214" localSheetId="0">[4]BASE!$D$75</definedName>
    <definedName name="__TZ214">#N/A</definedName>
    <definedName name="__TZ216" localSheetId="5">#REF!</definedName>
    <definedName name="__TZ216" localSheetId="6">#REF!</definedName>
    <definedName name="__TZ216" localSheetId="0">#REF!</definedName>
    <definedName name="__TZ216">#REF!</definedName>
    <definedName name="__TZ218" localSheetId="10">[4]BASE!$D$77</definedName>
    <definedName name="__TZ218">[4]BASE!$D$77</definedName>
    <definedName name="__TZ225" localSheetId="10">[2]BASE!$D$84</definedName>
    <definedName name="__TZ225">[2]BASE!$D$84</definedName>
    <definedName name="__TZ262" localSheetId="10">[2]BASE!$D$94</definedName>
    <definedName name="__TZ262">[2]BASE!$D$94</definedName>
    <definedName name="__TZ263" localSheetId="10">[2]BASE!$D$95</definedName>
    <definedName name="__TZ263">[2]BASE!$D$95</definedName>
    <definedName name="__TZ268" localSheetId="0">[4]BASE!$D$85</definedName>
    <definedName name="__TZ268">[4]BASE!$D$85</definedName>
    <definedName name="__TZ323" localSheetId="5">'[2]BASE ORIGINAL'!#REF!</definedName>
    <definedName name="__TZ323" localSheetId="6">'[2]BASE ORIGINAL'!#REF!</definedName>
    <definedName name="__TZ323" localSheetId="0">'[9]BASE ORIGINAL'!#REF!</definedName>
    <definedName name="__TZ323">'[2]BASE ORIGINAL'!#REF!</definedName>
    <definedName name="__TZ324" localSheetId="5">'[2]BASE ORIGINAL'!#REF!</definedName>
    <definedName name="__TZ324" localSheetId="6">'[2]BASE ORIGINAL'!#REF!</definedName>
    <definedName name="__TZ324" localSheetId="0">'[9]BASE ORIGINAL'!#REF!</definedName>
    <definedName name="__TZ324">'[2]BASE ORIGINAL'!#REF!</definedName>
    <definedName name="__TZ32510" localSheetId="5">#N/A</definedName>
    <definedName name="__TZ32510" localSheetId="6">#N/A</definedName>
    <definedName name="__TZ32510" localSheetId="0">[7]BASE!$D$106</definedName>
    <definedName name="__TZ32510">#N/A</definedName>
    <definedName name="__TZ3254" localSheetId="10">[2]BASE!$D$103</definedName>
    <definedName name="__TZ3254">[2]BASE!$D$103</definedName>
    <definedName name="__TZ3256" localSheetId="10">[2]BASE!$D$104</definedName>
    <definedName name="__TZ3256">[2]BASE!$D$104</definedName>
    <definedName name="__TZ416" localSheetId="10">[2]BASE!$D$110</definedName>
    <definedName name="__TZ416">[2]BASE!$D$110</definedName>
    <definedName name="__UDD08" localSheetId="10">[4]BASE!$D$257</definedName>
    <definedName name="__UDD08">[4]BASE!$D$257</definedName>
    <definedName name="_30__AIU" localSheetId="10">#REF!</definedName>
    <definedName name="_30__AIU" localSheetId="0">#REF!</definedName>
    <definedName name="_30__AIU">#REF!</definedName>
    <definedName name="_ADH12" localSheetId="0">[24]BASE!$D$218</definedName>
    <definedName name="_ADH12" localSheetId="1">[1]BASE!$D$218</definedName>
    <definedName name="_ADH12">[1]BASE!$D$218</definedName>
    <definedName name="_ADM12" localSheetId="0">[24]BASE!$D$219</definedName>
    <definedName name="_ADM12" localSheetId="1">[1]BASE!$D$219</definedName>
    <definedName name="_ADM12">[1]BASE!$D$219</definedName>
    <definedName name="_ADM2" localSheetId="5">#REF!</definedName>
    <definedName name="_ADM2" localSheetId="6">#REF!</definedName>
    <definedName name="_ADM2" localSheetId="0">[25]BASE!$D$182</definedName>
    <definedName name="_ADM2">#REF!</definedName>
    <definedName name="_ADM3" localSheetId="5">#REF!</definedName>
    <definedName name="_ADM3" localSheetId="6">#REF!</definedName>
    <definedName name="_ADM3" localSheetId="0">[2]BASE!$D$132</definedName>
    <definedName name="_ADM3">#REF!</definedName>
    <definedName name="_ADM4" localSheetId="0">[24]BASE!$D$120</definedName>
    <definedName name="_ADM4" localSheetId="1">[1]BASE!$D$120</definedName>
    <definedName name="_ADM4">[1]BASE!$D$120</definedName>
    <definedName name="_ADP1" localSheetId="5">#REF!</definedName>
    <definedName name="_ADP1" localSheetId="6">#REF!</definedName>
    <definedName name="_ADP1" localSheetId="0">[2]BASE!$D$185</definedName>
    <definedName name="_ADP1">#REF!</definedName>
    <definedName name="_AIU1" localSheetId="5">#N/A</definedName>
    <definedName name="_AIU1" localSheetId="6">#N/A</definedName>
    <definedName name="_AIU1" localSheetId="0">#N/A</definedName>
    <definedName name="_AIU1">#N/A</definedName>
    <definedName name="_AIU2">[3]BASE!$C$5</definedName>
    <definedName name="_AIU3">[11]BASE!$C$3</definedName>
    <definedName name="_BAZ10" localSheetId="0">[24]BASE!$D$270</definedName>
    <definedName name="_BAZ10" localSheetId="1">[1]BASE!$D$270</definedName>
    <definedName name="_BAZ10">[1]BASE!$D$270</definedName>
    <definedName name="_BLO20" localSheetId="0">[24]BASE!$D$56</definedName>
    <definedName name="_BLO20" localSheetId="1">[1]BASE!$D$56</definedName>
    <definedName name="_BLO20">[1]BASE!$D$56</definedName>
    <definedName name="_C2256JH" localSheetId="10">[2]BASE!$D$323</definedName>
    <definedName name="_C2256JH">[2]BASE!$D$323</definedName>
    <definedName name="_C452JH">[11]BASE!$D$342</definedName>
    <definedName name="_CAN28" localSheetId="0">[24]BASE!$D$315</definedName>
    <definedName name="_CAN28" localSheetId="1">[1]BASE!$D$315</definedName>
    <definedName name="_CAN28">[1]BASE!$D$315</definedName>
    <definedName name="_Cod1" localSheetId="5">#N/A</definedName>
    <definedName name="_Cod1" localSheetId="6">#N/A</definedName>
    <definedName name="_Cod1" localSheetId="0">#N/A</definedName>
    <definedName name="_Cod1">#N/A</definedName>
    <definedName name="_CUA44" localSheetId="0">[24]BASE!$D$253</definedName>
    <definedName name="_CUA44" localSheetId="1">[1]BASE!$D$253</definedName>
    <definedName name="_CUA44">[1]BASE!$D$253</definedName>
    <definedName name="_EEF110" localSheetId="5">#REF!</definedName>
    <definedName name="_EEF110" localSheetId="6">#REF!</definedName>
    <definedName name="_EEF110">#REF!</definedName>
    <definedName name="_ETF315" localSheetId="5">#REF!</definedName>
    <definedName name="_ETF315" localSheetId="6">#REF!</definedName>
    <definedName name="_ETF315" localSheetId="0">[25]BASE!$D$1775</definedName>
    <definedName name="_ETF315">#REF!</definedName>
    <definedName name="_Fill" localSheetId="5" hidden="1">#REF!</definedName>
    <definedName name="_Fill" localSheetId="6" hidden="1">#REF!</definedName>
    <definedName name="_Fill" localSheetId="0" hidden="1">#REF!</definedName>
    <definedName name="_Fill" hidden="1">#REF!</definedName>
    <definedName name="_xlnm._FilterDatabase" localSheetId="5" hidden="1">'A.P.U. 2024'!$A$296:$G$306</definedName>
    <definedName name="_xlnm._FilterDatabase" localSheetId="6" hidden="1">'Actualizacion de precios'!$A$3:$F$53</definedName>
    <definedName name="_xlnm._FilterDatabase" localSheetId="3" hidden="1">'FICHAS '!$L$6:$M$6</definedName>
    <definedName name="_xlnm._FilterDatabase" localSheetId="2" hidden="1">'ppto sistema septico'!$A$10:$AM$62</definedName>
    <definedName name="_xlnm._FilterDatabase" localSheetId="4" hidden="1">'Salarios y transporte'!$B$47:$K$127</definedName>
    <definedName name="_xlnm._FilterDatabase" localSheetId="12" hidden="1">'Tablas BD'!$A$1:$H$131</definedName>
    <definedName name="_FYB02" localSheetId="5">#REF!</definedName>
    <definedName name="_FYB02" localSheetId="6">#REF!</definedName>
    <definedName name="_FYB02" localSheetId="0">[25]BASE!$D$1663</definedName>
    <definedName name="_FYB02">#REF!</definedName>
    <definedName name="_FYB03" localSheetId="5">#REF!</definedName>
    <definedName name="_FYB03" localSheetId="6">#REF!</definedName>
    <definedName name="_FYB03" localSheetId="0">[25]BASE!$D$1664</definedName>
    <definedName name="_FYB03">#REF!</definedName>
    <definedName name="_FYB04" localSheetId="5">#REF!</definedName>
    <definedName name="_FYB04" localSheetId="6">#REF!</definedName>
    <definedName name="_FYB04" localSheetId="0">[2]BASE!$D$362</definedName>
    <definedName name="_FYB04">#REF!</definedName>
    <definedName name="_FYB08" localSheetId="5">#REF!</definedName>
    <definedName name="_FYB08" localSheetId="6">#REF!</definedName>
    <definedName name="_FYB08" localSheetId="0">[2]BASE!$D$363</definedName>
    <definedName name="_FYB08">#REF!</definedName>
    <definedName name="_FYB10" localSheetId="5">#REF!</definedName>
    <definedName name="_FYB10" localSheetId="6">#REF!</definedName>
    <definedName name="_FYB10" localSheetId="0">[2]BASE!$D$364</definedName>
    <definedName name="_FYB10">#REF!</definedName>
    <definedName name="_LA124" localSheetId="0">[24]BASE!$D$64</definedName>
    <definedName name="_LA124" localSheetId="1">[1]BASE!$D$64</definedName>
    <definedName name="_LA124">[1]BASE!$D$64</definedName>
    <definedName name="_LAC18">[4]BASE!$D$252</definedName>
    <definedName name="_Order1" hidden="1">255</definedName>
    <definedName name="_Order2" hidden="1">255</definedName>
    <definedName name="_Pa1" localSheetId="5">#REF!</definedName>
    <definedName name="_Pa1" localSheetId="6">#REF!</definedName>
    <definedName name="_Pa1" localSheetId="0">'[26]Paral. 1'!$E$1:$E$65536</definedName>
    <definedName name="_Pa1">'[26]Paral. 1'!$E$1:$E$65536</definedName>
    <definedName name="_Pa2" localSheetId="5">#REF!</definedName>
    <definedName name="_Pa2" localSheetId="6">#REF!</definedName>
    <definedName name="_Pa2" localSheetId="0">'[26]Paral. 2'!$E$1:$E$65536</definedName>
    <definedName name="_Pa2">'[26]Paral. 2'!$E$1:$E$65536</definedName>
    <definedName name="_Pa3" localSheetId="5">#REF!</definedName>
    <definedName name="_Pa3" localSheetId="6">#REF!</definedName>
    <definedName name="_Pa3" localSheetId="0">'[26]Paral. 3'!$E$1:$E$65536</definedName>
    <definedName name="_Pa3">'[26]Paral. 3'!$E$1:$E$65536</definedName>
    <definedName name="_Pa4" localSheetId="5">#REF!</definedName>
    <definedName name="_Pa4" localSheetId="6">#REF!</definedName>
    <definedName name="_Pa4" localSheetId="0">[26]Paral.4!$E$1:$E$65536</definedName>
    <definedName name="_Pa4">[26]Paral.4!$E$1:$E$65536</definedName>
    <definedName name="_Po2" localSheetId="0">[5]REAJUSTESACTA1PROVI!#REF!</definedName>
    <definedName name="_Po2">[5]REAJUSTESACTA1PROVI!#REF!</definedName>
    <definedName name="_Po3" localSheetId="0">[5]REAJUSTESACTA1PROVI!#REF!</definedName>
    <definedName name="_Po3">[5]REAJUSTESACTA1PROVI!#REF!</definedName>
    <definedName name="_R108BB" localSheetId="5">#REF!</definedName>
    <definedName name="_R108BB" localSheetId="6">#REF!</definedName>
    <definedName name="_R108BB">#REF!</definedName>
    <definedName name="_R1210JH" localSheetId="5">#REF!</definedName>
    <definedName name="_R1210JH" localSheetId="6">#REF!</definedName>
    <definedName name="_R1210JH">#REF!</definedName>
    <definedName name="_R126EXBB" localSheetId="5">#REF!</definedName>
    <definedName name="_R126EXBB" localSheetId="6">#REF!</definedName>
    <definedName name="_R126EXBB">#REF!</definedName>
    <definedName name="_R32EL" localSheetId="5">#REF!</definedName>
    <definedName name="_R32EL" localSheetId="6">#REF!</definedName>
    <definedName name="_R32EL">#REF!</definedName>
    <definedName name="_R32JH" localSheetId="5">#REF!</definedName>
    <definedName name="_R32JH" localSheetId="6">#REF!</definedName>
    <definedName name="_R32JH" localSheetId="0">[25]BASE!$D$1600</definedName>
    <definedName name="_R32JH">#REF!</definedName>
    <definedName name="_R42JH" localSheetId="5">#REF!</definedName>
    <definedName name="_R42JH" localSheetId="6">#REF!</definedName>
    <definedName name="_R42JH" localSheetId="0">[25]BASE!$D$1599</definedName>
    <definedName name="_R42JH">#REF!</definedName>
    <definedName name="_R43JH" localSheetId="5">#REF!</definedName>
    <definedName name="_R43JH" localSheetId="6">#REF!</definedName>
    <definedName name="_R43JH" localSheetId="0">[25]BASE!$D$1598</definedName>
    <definedName name="_R43JH">#REF!</definedName>
    <definedName name="_R63BB" localSheetId="5">#REF!</definedName>
    <definedName name="_R63BB" localSheetId="6">#REF!</definedName>
    <definedName name="_R63BB" localSheetId="0">[2]BASE!$D$302</definedName>
    <definedName name="_R63BB">#REF!</definedName>
    <definedName name="_R63JH" localSheetId="5">#REF!</definedName>
    <definedName name="_R63JH" localSheetId="6">#REF!</definedName>
    <definedName name="_R63JH" localSheetId="0">[2]BASE!$D$296</definedName>
    <definedName name="_R63JH">#REF!</definedName>
    <definedName name="_R64BB" localSheetId="5">#REF!</definedName>
    <definedName name="_R64BB" localSheetId="6">#REF!</definedName>
    <definedName name="_R64BB" localSheetId="0">[2]BASE!$D$301</definedName>
    <definedName name="_R64BB">#REF!</definedName>
    <definedName name="_R64JH" localSheetId="5">#REF!</definedName>
    <definedName name="_R64JH" localSheetId="6">#REF!</definedName>
    <definedName name="_R64JH" localSheetId="0">[2]BASE!$D$295</definedName>
    <definedName name="_R64JH">#REF!</definedName>
    <definedName name="_R83JH" localSheetId="5">#REF!</definedName>
    <definedName name="_R83JH" localSheetId="6">#REF!</definedName>
    <definedName name="_R83JH" localSheetId="0">[2]BASE!$D$294</definedName>
    <definedName name="_R83JH">#REF!</definedName>
    <definedName name="_R84JH">[4]BASE!$D$172</definedName>
    <definedName name="_R86JH" localSheetId="5">#REF!</definedName>
    <definedName name="_R86JH" localSheetId="6">#REF!</definedName>
    <definedName name="_R86JH" localSheetId="0">[2]BASE!$D$292</definedName>
    <definedName name="_R86JH">#REF!</definedName>
    <definedName name="_RED104" localSheetId="5">#REF!</definedName>
    <definedName name="_RED104" localSheetId="6">#REF!</definedName>
    <definedName name="_RED104">#REF!</definedName>
    <definedName name="_RED106" localSheetId="5">#REF!</definedName>
    <definedName name="_RED106" localSheetId="6">#REF!</definedName>
    <definedName name="_RED106">#REF!</definedName>
    <definedName name="_RED1210" localSheetId="5">#REF!</definedName>
    <definedName name="_RED1210" localSheetId="6">#REF!</definedName>
    <definedName name="_RED1210">#REF!</definedName>
    <definedName name="_RED32" localSheetId="5">#REF!</definedName>
    <definedName name="_RED32" localSheetId="6">#REF!</definedName>
    <definedName name="_RED32" localSheetId="0">[2]BASE!$D$180</definedName>
    <definedName name="_RED32">#REF!</definedName>
    <definedName name="_red42" localSheetId="5">#REF!</definedName>
    <definedName name="_red42" localSheetId="6">#REF!</definedName>
    <definedName name="_red42">#REF!</definedName>
    <definedName name="_RED43" localSheetId="5">#REF!</definedName>
    <definedName name="_RED43" localSheetId="6">#REF!</definedName>
    <definedName name="_RED43">#REF!</definedName>
    <definedName name="_REP21" localSheetId="5">#REF!</definedName>
    <definedName name="_REP21" localSheetId="6">#REF!</definedName>
    <definedName name="_REP21" localSheetId="0">[2]BASE!$D$134</definedName>
    <definedName name="_REP21">#REF!</definedName>
    <definedName name="_REP42" localSheetId="5">#REF!</definedName>
    <definedName name="_REP42" localSheetId="6">#REF!</definedName>
    <definedName name="_REP42" localSheetId="0">[2]BASE!$D$135</definedName>
    <definedName name="_REP42">#REF!</definedName>
    <definedName name="_REP43">[6]BASE!$D$136</definedName>
    <definedName name="_RES64" localSheetId="5">#REF!</definedName>
    <definedName name="_RES64" localSheetId="6">#REF!</definedName>
    <definedName name="_RES64" localSheetId="0">[2]BASE!$D$209</definedName>
    <definedName name="_RES64">#REF!</definedName>
    <definedName name="_SMMLV" localSheetId="5">'[27]8.2 PRESTACIONES'!$F$14</definedName>
    <definedName name="_SMMLV" localSheetId="6">'[27]8.2 PRESTACIONES'!$F$14</definedName>
    <definedName name="_SMMLV" localSheetId="0">'[28]8.2 PRESTACIONES'!$F$14</definedName>
    <definedName name="_SMMLV">'[27]8.2 PRESTACIONES'!$F$14</definedName>
    <definedName name="_ST106" localSheetId="5">#REF!</definedName>
    <definedName name="_ST106" localSheetId="6">#REF!</definedName>
    <definedName name="_ST106" localSheetId="0">[2]BASE!$D$247</definedName>
    <definedName name="_ST106">#REF!</definedName>
    <definedName name="_ST126" localSheetId="5">#REF!</definedName>
    <definedName name="_ST126" localSheetId="6">#REF!</definedName>
    <definedName name="_ST126" localSheetId="0">[2]BASE!$D$248</definedName>
    <definedName name="_ST126">#REF!</definedName>
    <definedName name="_ST146" localSheetId="5">#REF!</definedName>
    <definedName name="_ST146" localSheetId="6">#REF!</definedName>
    <definedName name="_ST146" localSheetId="0">[2]BASE!$D$267</definedName>
    <definedName name="_ST146">#REF!</definedName>
    <definedName name="_ST166" localSheetId="5">#REF!</definedName>
    <definedName name="_ST166" localSheetId="6">#REF!</definedName>
    <definedName name="_ST166" localSheetId="0">[2]BASE!$D$249</definedName>
    <definedName name="_ST166">#REF!</definedName>
    <definedName name="_ST186" localSheetId="5">#REF!</definedName>
    <definedName name="_ST186" localSheetId="6">#REF!</definedName>
    <definedName name="_ST186" localSheetId="0">[2]BASE!$D$250</definedName>
    <definedName name="_ST186">#REF!</definedName>
    <definedName name="_ST206" localSheetId="5">#REF!</definedName>
    <definedName name="_ST206" localSheetId="6">#REF!</definedName>
    <definedName name="_ST206" localSheetId="0">[25]BASE!$D$1549</definedName>
    <definedName name="_ST206">#REF!</definedName>
    <definedName name="_ST86" localSheetId="5">#REF!</definedName>
    <definedName name="_ST86" localSheetId="6">#REF!</definedName>
    <definedName name="_ST86" localSheetId="0">[2]BASE!$D$246</definedName>
    <definedName name="_ST86">#REF!</definedName>
    <definedName name="_SY104" localSheetId="5">#REF!</definedName>
    <definedName name="_SY104" localSheetId="6">#REF!</definedName>
    <definedName name="_SY104">#REF!</definedName>
    <definedName name="_SY106" localSheetId="5">#REF!</definedName>
    <definedName name="_SY106" localSheetId="6">#REF!</definedName>
    <definedName name="_SY106" localSheetId="0">[2]BASE!$D$258</definedName>
    <definedName name="_SY106">#REF!</definedName>
    <definedName name="_SY124" localSheetId="5">#REF!</definedName>
    <definedName name="_SY124" localSheetId="6">#REF!</definedName>
    <definedName name="_SY124">#REF!</definedName>
    <definedName name="_SY126" localSheetId="5">#REF!</definedName>
    <definedName name="_SY126" localSheetId="6">#REF!</definedName>
    <definedName name="_SY126" localSheetId="0">[25]BASE!$D$1558</definedName>
    <definedName name="_SY126">#REF!</definedName>
    <definedName name="_SY164" localSheetId="5">#REF!</definedName>
    <definedName name="_SY164" localSheetId="6">#REF!</definedName>
    <definedName name="_SY164">#REF!</definedName>
    <definedName name="_SY166" localSheetId="5">#REF!</definedName>
    <definedName name="_SY166" localSheetId="6">#REF!</definedName>
    <definedName name="_SY166" localSheetId="0">[2]BASE!$D$262</definedName>
    <definedName name="_SY166">#REF!</definedName>
    <definedName name="_SY186" localSheetId="5">#REF!</definedName>
    <definedName name="_SY186" localSheetId="6">#REF!</definedName>
    <definedName name="_SY186" localSheetId="0">[25]BASE!$D$1561</definedName>
    <definedName name="_SY186">#REF!</definedName>
    <definedName name="_SY206" localSheetId="5">#REF!</definedName>
    <definedName name="_SY206" localSheetId="6">#REF!</definedName>
    <definedName name="_SY206" localSheetId="0">[2]BASE!$D$264</definedName>
    <definedName name="_SY206">#REF!</definedName>
    <definedName name="_SY64" localSheetId="5">#REF!</definedName>
    <definedName name="_SY64" localSheetId="6">#REF!</definedName>
    <definedName name="_SY64">#REF!</definedName>
    <definedName name="_SY84" localSheetId="5">#REF!</definedName>
    <definedName name="_SY84" localSheetId="6">#REF!</definedName>
    <definedName name="_SY84">#REF!</definedName>
    <definedName name="_SY86" localSheetId="5">#REF!</definedName>
    <definedName name="_SY86" localSheetId="6">#REF!</definedName>
    <definedName name="_SY86" localSheetId="0">[2]BASE!$D$256</definedName>
    <definedName name="_SY86">#REF!</definedName>
    <definedName name="_T22JH" localSheetId="5">[25]BASE!$D$1578</definedName>
    <definedName name="_T22JH" localSheetId="6">[25]BASE!$D$1578</definedName>
    <definedName name="_T22JH" localSheetId="0">[25]BASE!$D$1578</definedName>
    <definedName name="_T22JH">[25]BASE!$D$1578</definedName>
    <definedName name="_T32JH" localSheetId="5">[25]BASE!$D$1577</definedName>
    <definedName name="_T32JH" localSheetId="6">[25]BASE!$D$1577</definedName>
    <definedName name="_T32JH" localSheetId="0">[25]BASE!$D$1577</definedName>
    <definedName name="_T32JH">[25]BASE!$D$1577</definedName>
    <definedName name="_T33JH" localSheetId="5">[25]BASE!$D$1576</definedName>
    <definedName name="_T33JH" localSheetId="6">[25]BASE!$D$1576</definedName>
    <definedName name="_T33JH" localSheetId="0">[25]BASE!$D$1576</definedName>
    <definedName name="_T33JH">[25]BASE!$D$1576</definedName>
    <definedName name="_T42JH" localSheetId="5">[25]BASE!$D$1575</definedName>
    <definedName name="_T42JH" localSheetId="6">[25]BASE!$D$1575</definedName>
    <definedName name="_T42JH" localSheetId="0">[25]BASE!$D$1575</definedName>
    <definedName name="_T42JH">[25]BASE!$D$1575</definedName>
    <definedName name="_T43JH" localSheetId="5">[25]BASE!$D$1574</definedName>
    <definedName name="_T43JH" localSheetId="6">[25]BASE!$D$1574</definedName>
    <definedName name="_T43JH" localSheetId="0">[25]BASE!$D$1574</definedName>
    <definedName name="_T43JH">[25]BASE!$D$1574</definedName>
    <definedName name="_T44JH" localSheetId="5">[25]BASE!$D$1569</definedName>
    <definedName name="_T44JH" localSheetId="6">[25]BASE!$D$1569</definedName>
    <definedName name="_T44JH" localSheetId="0">[25]BASE!$D$1569</definedName>
    <definedName name="_T44JH">[25]BASE!$D$1569</definedName>
    <definedName name="_T62JH" localSheetId="5">[25]BASE!$D$1573</definedName>
    <definedName name="_T62JH" localSheetId="6">[25]BASE!$D$1573</definedName>
    <definedName name="_T62JH" localSheetId="0">[25]BASE!$D$1573</definedName>
    <definedName name="_T62JH">[25]BASE!$D$1573</definedName>
    <definedName name="_TABLA" localSheetId="5">[29]BASE!$D$1610</definedName>
    <definedName name="_TABLA" localSheetId="6">[29]BASE!$D$1610</definedName>
    <definedName name="_TABLA" localSheetId="0">[25]BASE!$D$1682</definedName>
    <definedName name="_TABLA">[29]BASE!$D$1610</definedName>
    <definedName name="_Table1_Out" localSheetId="5" hidden="1">[30]CARBOCOL!#REF!</definedName>
    <definedName name="_Table1_Out" localSheetId="6" hidden="1">[30]CARBOCOL!#REF!</definedName>
    <definedName name="_Table1_Out" localSheetId="0" hidden="1">[30]CARBOCOL!#REF!</definedName>
    <definedName name="_Table1_Out" hidden="1">[30]CARBOCOL!#REF!</definedName>
    <definedName name="_Table2_In2" localSheetId="5" hidden="1">[31]ANUAL1!#REF!</definedName>
    <definedName name="_Table2_In2" localSheetId="6" hidden="1">[31]ANUAL1!#REF!</definedName>
    <definedName name="_Table2_In2" localSheetId="0" hidden="1">[31]ANUAL1!#REF!</definedName>
    <definedName name="_Table2_In2" hidden="1">[31]ANUAL1!#REF!</definedName>
    <definedName name="_Table2_Out" localSheetId="5" hidden="1">[30]CARBOCOL!#REF!</definedName>
    <definedName name="_Table2_Out" localSheetId="6" hidden="1">[30]CARBOCOL!#REF!</definedName>
    <definedName name="_Table2_Out" localSheetId="0" hidden="1">[30]CARBOCOL!#REF!</definedName>
    <definedName name="_Table2_Out" hidden="1">[30]CARBOCOL!#REF!</definedName>
    <definedName name="_TACOM" localSheetId="5">[25]BASE!$D$1765</definedName>
    <definedName name="_TACOM" localSheetId="6">[25]BASE!$D$1765</definedName>
    <definedName name="_TACOM" localSheetId="0">[25]BASE!$D$1765</definedName>
    <definedName name="_TACOM">[25]BASE!$D$1765</definedName>
    <definedName name="_TACOR" localSheetId="5">[29]BASE!$D$108</definedName>
    <definedName name="_TACOR" localSheetId="6">[29]BASE!$D$108</definedName>
    <definedName name="_TACOR" localSheetId="0">[25]BASE!$D$1763</definedName>
    <definedName name="_TACOR">[29]BASE!$D$108</definedName>
    <definedName name="_TAP2" localSheetId="5">#REF!</definedName>
    <definedName name="_TAP2" localSheetId="6">#REF!</definedName>
    <definedName name="_TAP2" localSheetId="0">[25]BASE!$D$1480</definedName>
    <definedName name="_TAP2">#REF!</definedName>
    <definedName name="_TAPAM" localSheetId="5">[25]BASE!$D$1654</definedName>
    <definedName name="_TAPAM" localSheetId="6">[25]BASE!$D$1654</definedName>
    <definedName name="_TAPAM" localSheetId="0">[25]BASE!$D$1654</definedName>
    <definedName name="_TAPAM">[25]BASE!$D$1654</definedName>
    <definedName name="_TASP1" localSheetId="5">[25]BASE!$D$1635</definedName>
    <definedName name="_TASP1" localSheetId="6">[25]BASE!$D$1635</definedName>
    <definedName name="_TASP1" localSheetId="0">[25]BASE!$D$1635</definedName>
    <definedName name="_TASP1">[25]BASE!$D$1635</definedName>
    <definedName name="_TASP2" localSheetId="5">[25]BASE!$D$1636</definedName>
    <definedName name="_TASP2" localSheetId="6">[25]BASE!$D$1636</definedName>
    <definedName name="_TASP2" localSheetId="0">[25]BASE!$D$1636</definedName>
    <definedName name="_TASP2">[25]BASE!$D$1636</definedName>
    <definedName name="_TEE1" localSheetId="5">#REF!</definedName>
    <definedName name="_TEE1" localSheetId="6">#REF!</definedName>
    <definedName name="_TEE1" localSheetId="0">[2]BASE!$D$176</definedName>
    <definedName name="_TEE1">#REF!</definedName>
    <definedName name="_TEE1010" localSheetId="5">#REF!</definedName>
    <definedName name="_TEE1010" localSheetId="6">#REF!</definedName>
    <definedName name="_TEE1010">#REF!</definedName>
    <definedName name="_TEE2" localSheetId="5">#REF!</definedName>
    <definedName name="_TEE2" localSheetId="6">#REF!</definedName>
    <definedName name="_TEE2" localSheetId="0">[2]BASE!$D$177</definedName>
    <definedName name="_TEE2">#REF!</definedName>
    <definedName name="_TEE32" localSheetId="5">#REF!</definedName>
    <definedName name="_TEE32" localSheetId="6">#REF!</definedName>
    <definedName name="_TEE32" localSheetId="0">[25]BASE!$D$1465</definedName>
    <definedName name="_TEE32">#REF!</definedName>
    <definedName name="_TEE33" localSheetId="5">#REF!</definedName>
    <definedName name="_TEE33" localSheetId="6">#REF!</definedName>
    <definedName name="_TEE33" localSheetId="0">[2]BASE!$D$179</definedName>
    <definedName name="_TEE33">#REF!</definedName>
    <definedName name="_TEJAB" localSheetId="5">[25]BASE!$D$77</definedName>
    <definedName name="_TEJAB" localSheetId="6">[25]BASE!$D$77</definedName>
    <definedName name="_TEJAB" localSheetId="0">[25]BASE!$D$77</definedName>
    <definedName name="_TEJAB">[25]BASE!$D$77</definedName>
    <definedName name="_TEJAJ" localSheetId="5">[25]BASE!$D$1681</definedName>
    <definedName name="_TEJAJ" localSheetId="6">[25]BASE!$D$1681</definedName>
    <definedName name="_TEJAJ" localSheetId="0">[25]BASE!$D$1681</definedName>
    <definedName name="_TEJAJ">[25]BASE!$D$1681</definedName>
    <definedName name="_TELEP" localSheetId="5">[29]BASE!$D$107</definedName>
    <definedName name="_TELEP" localSheetId="6">[29]BASE!$D$107</definedName>
    <definedName name="_TELEP" localSheetId="0">[25]BASE!$D$1762</definedName>
    <definedName name="_TELEP">[29]BASE!$D$107</definedName>
    <definedName name="_TEP44" localSheetId="5">[7]BASE!$D$116</definedName>
    <definedName name="_TEP44" localSheetId="6">[7]BASE!$D$116</definedName>
    <definedName name="_TEP44" localSheetId="0">[7]BASE!$D$116</definedName>
    <definedName name="_TEP44">[7]BASE!$D$116</definedName>
    <definedName name="_TES44" localSheetId="5">#REF!</definedName>
    <definedName name="_TES44" localSheetId="6">#REF!</definedName>
    <definedName name="_TES44" localSheetId="0">[2]BASE!$D$205</definedName>
    <definedName name="_TES44">#REF!</definedName>
    <definedName name="_TES64" localSheetId="5">#REF!</definedName>
    <definedName name="_TES64" localSheetId="6">#REF!</definedName>
    <definedName name="_TES64" localSheetId="0">[2]BASE!$D$207</definedName>
    <definedName name="_TES64">#REF!</definedName>
    <definedName name="_TES66" localSheetId="5">#REF!</definedName>
    <definedName name="_TES66" localSheetId="6">#REF!</definedName>
    <definedName name="_TES66" localSheetId="0">[16]BASE!$D$207</definedName>
    <definedName name="_TES66">#REF!</definedName>
    <definedName name="_TGALV" localSheetId="5">[25]BASE!$D$1662</definedName>
    <definedName name="_TGALV" localSheetId="6">[25]BASE!$D$1662</definedName>
    <definedName name="_TGALV" localSheetId="0">[25]BASE!$D$1662</definedName>
    <definedName name="_TGALV">[25]BASE!$D$1662</definedName>
    <definedName name="_THF12" localSheetId="5">#REF!</definedName>
    <definedName name="_THF12" localSheetId="6">#REF!</definedName>
    <definedName name="_THF12" localSheetId="0">[2]BASE!$D$281</definedName>
    <definedName name="_THF12">#REF!</definedName>
    <definedName name="_TNL24" localSheetId="5">#REF!</definedName>
    <definedName name="_TNL24" localSheetId="6">#REF!</definedName>
    <definedName name="_TNL24" localSheetId="0">[2]BASE!$D$220</definedName>
    <definedName name="_TNL24">#REF!</definedName>
    <definedName name="_TNL27" localSheetId="5">#REF!</definedName>
    <definedName name="_TNL27" localSheetId="6">#REF!</definedName>
    <definedName name="_TNL27" localSheetId="0">[2]BASE!$D$221</definedName>
    <definedName name="_TNL27">#REF!</definedName>
    <definedName name="_TNL30" localSheetId="5">#REF!</definedName>
    <definedName name="_TNL30" localSheetId="6">#REF!</definedName>
    <definedName name="_TNL30" localSheetId="0">[2]BASE!$D$222</definedName>
    <definedName name="_TNL30">#REF!</definedName>
    <definedName name="_TNL33" localSheetId="5">#REF!</definedName>
    <definedName name="_TNL33" localSheetId="6">#REF!</definedName>
    <definedName name="_TNL33" localSheetId="0">[2]BASE!$D$223</definedName>
    <definedName name="_TNL33">#REF!</definedName>
    <definedName name="_TNL36" localSheetId="5">#REF!</definedName>
    <definedName name="_TNL36" localSheetId="6">#REF!</definedName>
    <definedName name="_TNL36" localSheetId="0">[2]BASE!$D$224</definedName>
    <definedName name="_TNL36">#REF!</definedName>
    <definedName name="_TNL39" localSheetId="5">#REF!</definedName>
    <definedName name="_TNL39" localSheetId="6">#REF!</definedName>
    <definedName name="_TNL39" localSheetId="0">[2]BASE!$D$225</definedName>
    <definedName name="_TNL39">#REF!</definedName>
    <definedName name="_TNL42" localSheetId="5">#REF!</definedName>
    <definedName name="_TNL42" localSheetId="6">#REF!</definedName>
    <definedName name="_TNL42">#REF!</definedName>
    <definedName name="_TNL45" localSheetId="5">#REF!</definedName>
    <definedName name="_TNL45" localSheetId="6">#REF!</definedName>
    <definedName name="_TNL45" localSheetId="0">[2]BASE!$D$227</definedName>
    <definedName name="_TNL45">#REF!</definedName>
    <definedName name="_TNL48" localSheetId="5">#REF!</definedName>
    <definedName name="_TNL48" localSheetId="6">#REF!</definedName>
    <definedName name="_TNL48" localSheetId="0">[2]BASE!$D$228</definedName>
    <definedName name="_TNL48">#REF!</definedName>
    <definedName name="_TNL51" localSheetId="5">#REF!</definedName>
    <definedName name="_TNL51" localSheetId="6">#REF!</definedName>
    <definedName name="_TNL51">#REF!</definedName>
    <definedName name="_TNL54" localSheetId="5">#REF!</definedName>
    <definedName name="_TNL54" localSheetId="6">#REF!</definedName>
    <definedName name="_TNL54">#REF!</definedName>
    <definedName name="_TNL60" localSheetId="5">#REF!</definedName>
    <definedName name="_TNL60" localSheetId="6">#REF!</definedName>
    <definedName name="_TNL60">#REF!</definedName>
    <definedName name="_TNOV10" localSheetId="5">[29]BASE!$D$1253</definedName>
    <definedName name="_TNOV10" localSheetId="6">[29]BASE!$D$1253</definedName>
    <definedName name="_TNOV10" localSheetId="0">[25]BASE!$D$1512</definedName>
    <definedName name="_TNOV10">[29]BASE!$D$1253</definedName>
    <definedName name="_TNOV12" localSheetId="5">[29]BASE!$D$1254</definedName>
    <definedName name="_TNOV12" localSheetId="6">[29]BASE!$D$1254</definedName>
    <definedName name="_TNOV12" localSheetId="0">[25]BASE!$D$1513</definedName>
    <definedName name="_TNOV12">[29]BASE!$D$1254</definedName>
    <definedName name="_TNOV16" localSheetId="5">[25]BASE!$D$1514</definedName>
    <definedName name="_TNOV16" localSheetId="6">[25]BASE!$D$1514</definedName>
    <definedName name="_TNOV16" localSheetId="0">[25]BASE!$D$1514</definedName>
    <definedName name="_TNOV16">[25]BASE!$D$1514</definedName>
    <definedName name="_TNOV18" localSheetId="5">[29]BASE!$D$1256</definedName>
    <definedName name="_TNOV18" localSheetId="6">[29]BASE!$D$1256</definedName>
    <definedName name="_TNOV18" localSheetId="0">[25]BASE!$D$1515</definedName>
    <definedName name="_TNOV18">[29]BASE!$D$1256</definedName>
    <definedName name="_TNOV20" localSheetId="5">[29]BASE!$D$1257</definedName>
    <definedName name="_TNOV20" localSheetId="6">[29]BASE!$D$1257</definedName>
    <definedName name="_TNOV20" localSheetId="0">[25]BASE!$D$1516</definedName>
    <definedName name="_TNOV20">[29]BASE!$D$1257</definedName>
    <definedName name="_TNOV6" localSheetId="5">[29]BASE!$D$1251</definedName>
    <definedName name="_TNOV6" localSheetId="6">[29]BASE!$D$1251</definedName>
    <definedName name="_TNOV6" localSheetId="0">[25]BASE!$D$1510</definedName>
    <definedName name="_TNOV6">[29]BASE!$D$1251</definedName>
    <definedName name="_TNOV8" localSheetId="5">[29]BASE!$D$1252</definedName>
    <definedName name="_TNOV8" localSheetId="6">[29]BASE!$D$1252</definedName>
    <definedName name="_TNOV8" localSheetId="0">[25]BASE!$D$1511</definedName>
    <definedName name="_TNOV8">[29]BASE!$D$1252</definedName>
    <definedName name="_TORNI" localSheetId="5">[25]BASE!$D$1692</definedName>
    <definedName name="_TORNI" localSheetId="6">[25]BASE!$D$1692</definedName>
    <definedName name="_TORNI" localSheetId="0">[25]BASE!$D$1692</definedName>
    <definedName name="_TORNI">[25]BASE!$D$1692</definedName>
    <definedName name="_TPE1132" localSheetId="5">[7]BASE!#REF!</definedName>
    <definedName name="_TPE1132" localSheetId="6">[7]BASE!#REF!</definedName>
    <definedName name="_TPE1132" localSheetId="0">[7]BASE!#REF!</definedName>
    <definedName name="_TPE1132">[7]BASE!#REF!</definedName>
    <definedName name="_TPE12" localSheetId="5">#N/A</definedName>
    <definedName name="_TPE12" localSheetId="6">#N/A</definedName>
    <definedName name="_TPE12" localSheetId="0">#N/A</definedName>
    <definedName name="_TPE12">#N/A</definedName>
    <definedName name="_TPE1331" localSheetId="5">[7]BASE!#REF!</definedName>
    <definedName name="_TPE1331" localSheetId="6">[7]BASE!#REF!</definedName>
    <definedName name="_TPE1331" localSheetId="0">[7]BASE!#REF!</definedName>
    <definedName name="_TPE1331">[7]BASE!#REF!</definedName>
    <definedName name="_TPE1701" localSheetId="5">#REF!</definedName>
    <definedName name="_TPE1701" localSheetId="6">#REF!</definedName>
    <definedName name="_TPE1701" localSheetId="0">[2]BASE!$D$144</definedName>
    <definedName name="_TPE1701">#REF!</definedName>
    <definedName name="_TPE1702" localSheetId="5">[7]BASE!#REF!</definedName>
    <definedName name="_TPE1702" localSheetId="6">[7]BASE!#REF!</definedName>
    <definedName name="_TPE1702" localSheetId="0">[7]BASE!#REF!</definedName>
    <definedName name="_TPE1702">[7]BASE!#REF!</definedName>
    <definedName name="_TPE1703" localSheetId="5">[7]BASE!#REF!</definedName>
    <definedName name="_TPE1703" localSheetId="6">[7]BASE!#REF!</definedName>
    <definedName name="_TPE1703" localSheetId="0">[7]BASE!#REF!</definedName>
    <definedName name="_TPE1703">[7]BASE!#REF!</definedName>
    <definedName name="_TPE1704" localSheetId="5">[7]BASE!#REF!</definedName>
    <definedName name="_TPE1704" localSheetId="6">[7]BASE!#REF!</definedName>
    <definedName name="_TPE1704" localSheetId="0">[7]BASE!#REF!</definedName>
    <definedName name="_TPE1704">[7]BASE!#REF!</definedName>
    <definedName name="_TPE1706" localSheetId="5">[7]BASE!#REF!</definedName>
    <definedName name="_TPE1706" localSheetId="6">[7]BASE!#REF!</definedName>
    <definedName name="_TPE1706" localSheetId="0">[7]BASE!#REF!</definedName>
    <definedName name="_TPE1706">[7]BASE!#REF!</definedName>
    <definedName name="_TPE1708" localSheetId="5">[7]BASE!#REF!</definedName>
    <definedName name="_TPE1708" localSheetId="6">[7]BASE!#REF!</definedName>
    <definedName name="_TPE1708" localSheetId="0">[7]BASE!#REF!</definedName>
    <definedName name="_TPE1708">[7]BASE!#REF!</definedName>
    <definedName name="_TPE1710" localSheetId="5">[7]BASE!#REF!</definedName>
    <definedName name="_TPE1710" localSheetId="6">[7]BASE!#REF!</definedName>
    <definedName name="_TPE1710" localSheetId="0">[7]BASE!#REF!</definedName>
    <definedName name="_TPE1710">[7]BASE!#REF!</definedName>
    <definedName name="_TPE1735" localSheetId="5">[7]BASE!#REF!</definedName>
    <definedName name="_TPE1735" localSheetId="6">[7]BASE!#REF!</definedName>
    <definedName name="_TPE1735" localSheetId="0">[7]BASE!#REF!</definedName>
    <definedName name="_TPE1735">[7]BASE!#REF!</definedName>
    <definedName name="_TPE1763" localSheetId="5">[7]BASE!#REF!</definedName>
    <definedName name="_TPE1763" localSheetId="6">[7]BASE!#REF!</definedName>
    <definedName name="_TPE1763" localSheetId="0">[7]BASE!#REF!</definedName>
    <definedName name="_TPE1763">[7]BASE!#REF!</definedName>
    <definedName name="_TPE1790" localSheetId="5">[7]BASE!#REF!</definedName>
    <definedName name="_TPE1790" localSheetId="6">[7]BASE!#REF!</definedName>
    <definedName name="_TPE1790" localSheetId="0">[7]BASE!#REF!</definedName>
    <definedName name="_TPE1790">[7]BASE!#REF!</definedName>
    <definedName name="_TPE8016" localSheetId="5">#REF!</definedName>
    <definedName name="_TPE8016" localSheetId="6">#REF!</definedName>
    <definedName name="_TPE8016" localSheetId="0">[16]BASE!$D$147</definedName>
    <definedName name="_TPE8016">#REF!</definedName>
    <definedName name="_TPE8020" localSheetId="5">#REF!</definedName>
    <definedName name="_TPE8020" localSheetId="6">#REF!</definedName>
    <definedName name="_TPE8020" localSheetId="0">[2]BASE!$D$147</definedName>
    <definedName name="_TPE8020">#REF!</definedName>
    <definedName name="_TPE8025" localSheetId="5">#REF!</definedName>
    <definedName name="_TPE8025" localSheetId="6">#REF!</definedName>
    <definedName name="_TPE8025" localSheetId="0">[2]BASE!$D$148</definedName>
    <definedName name="_TPE8025">#REF!</definedName>
    <definedName name="_TPF12" localSheetId="0">[24]BASE!$D$217</definedName>
    <definedName name="_TPF12" localSheetId="1">[1]BASE!$D$217</definedName>
    <definedName name="_TPF12">[1]BASE!$D$217</definedName>
    <definedName name="_TPN1002" localSheetId="5">#REF!</definedName>
    <definedName name="_TPN1002" localSheetId="6">#REF!</definedName>
    <definedName name="_TPN1002" localSheetId="0">[25]BASE!$D$1432</definedName>
    <definedName name="_TPN1002">#REF!</definedName>
    <definedName name="_TPN1003" localSheetId="5">#REF!</definedName>
    <definedName name="_TPN1003" localSheetId="6">#REF!</definedName>
    <definedName name="_TPN1003" localSheetId="0">[25]BASE!$D$1434</definedName>
    <definedName name="_TPN1003">#REF!</definedName>
    <definedName name="_TPN1004" localSheetId="5">#REF!</definedName>
    <definedName name="_TPN1004" localSheetId="6">#REF!</definedName>
    <definedName name="_TPN1004" localSheetId="0">[2]BASE!$D$152</definedName>
    <definedName name="_TPN1004">#REF!</definedName>
    <definedName name="_TPN1006" localSheetId="5">#REF!</definedName>
    <definedName name="_TPN1006" localSheetId="6">#REF!</definedName>
    <definedName name="_TPN1006" localSheetId="0">[2]BASE!$D$153</definedName>
    <definedName name="_TPN1006">#REF!</definedName>
    <definedName name="_TPN10075" localSheetId="5">#REF!</definedName>
    <definedName name="_TPN10075" localSheetId="6">#REF!</definedName>
    <definedName name="_TPN10075">#REF!</definedName>
    <definedName name="_TPN1008" localSheetId="5">#REF!</definedName>
    <definedName name="_TPN1008" localSheetId="6">#REF!</definedName>
    <definedName name="_TPN1008" localSheetId="0">[2]BASE!$D$154</definedName>
    <definedName name="_TPN1008">#REF!</definedName>
    <definedName name="_TPN1010" localSheetId="5">#REF!</definedName>
    <definedName name="_TPN1010" localSheetId="6">#REF!</definedName>
    <definedName name="_TPN1010">#REF!</definedName>
    <definedName name="_TPN1012" localSheetId="5">#REF!</definedName>
    <definedName name="_TPN1012" localSheetId="6">#REF!</definedName>
    <definedName name="_TPN1012">#REF!</definedName>
    <definedName name="_TPN1202" localSheetId="5">#REF!</definedName>
    <definedName name="_TPN1202" localSheetId="6">#REF!</definedName>
    <definedName name="_TPN1202" localSheetId="0">[2]BASE!$D$160</definedName>
    <definedName name="_TPN1202">#REF!</definedName>
    <definedName name="_TPN1203" localSheetId="5">#REF!</definedName>
    <definedName name="_TPN1203" localSheetId="6">#REF!</definedName>
    <definedName name="_TPN1203" localSheetId="0">[2]BASE!$D$161</definedName>
    <definedName name="_TPN1203">#REF!</definedName>
    <definedName name="_TPN1204" localSheetId="5">#REF!</definedName>
    <definedName name="_TPN1204" localSheetId="6">#REF!</definedName>
    <definedName name="_TPN1204" localSheetId="0">[2]BASE!$D$162</definedName>
    <definedName name="_TPN1204">#REF!</definedName>
    <definedName name="_TPN1206" localSheetId="5">#REF!</definedName>
    <definedName name="_TPN1206" localSheetId="6">#REF!</definedName>
    <definedName name="_TPN1206" localSheetId="0">[2]BASE!$D$163</definedName>
    <definedName name="_TPN1206">#REF!</definedName>
    <definedName name="_TPN1208" localSheetId="5">#REF!</definedName>
    <definedName name="_TPN1208" localSheetId="6">#REF!</definedName>
    <definedName name="_TPN1208" localSheetId="0">[2]BASE!$D$164</definedName>
    <definedName name="_TPN1208">#REF!</definedName>
    <definedName name="_TPN1210" localSheetId="5">#REF!</definedName>
    <definedName name="_TPN1210" localSheetId="6">#REF!</definedName>
    <definedName name="_TPN1210">#REF!</definedName>
    <definedName name="_TPN1212" localSheetId="5">#REF!</definedName>
    <definedName name="_TPN1212" localSheetId="6">#REF!</definedName>
    <definedName name="_TPN1212">#REF!</definedName>
    <definedName name="_TPN1225" localSheetId="5">#REF!</definedName>
    <definedName name="_TPN1225" localSheetId="6">#REF!</definedName>
    <definedName name="_TPN1225">#REF!</definedName>
    <definedName name="_TPN1232" localSheetId="5">#REF!</definedName>
    <definedName name="_TPN1232" localSheetId="6">#REF!</definedName>
    <definedName name="_TPN1232">#REF!</definedName>
    <definedName name="_TPN16012" localSheetId="5">#REF!</definedName>
    <definedName name="_TPN16012" localSheetId="6">#REF!</definedName>
    <definedName name="_TPN16012" localSheetId="0">[2]BASE!$D$167</definedName>
    <definedName name="_TPN16012">#REF!</definedName>
    <definedName name="_TPN1602" localSheetId="5">#REF!</definedName>
    <definedName name="_TPN1602" localSheetId="6">#REF!</definedName>
    <definedName name="_TPN1602" localSheetId="0">[2]BASE!$D$168</definedName>
    <definedName name="_TPN1602">#REF!</definedName>
    <definedName name="_TPN1603" localSheetId="5">#REF!</definedName>
    <definedName name="_TPN1603" localSheetId="6">#REF!</definedName>
    <definedName name="_TPN1603" localSheetId="0">[2]BASE!$D$169</definedName>
    <definedName name="_TPN1603">#REF!</definedName>
    <definedName name="_TPN1604" localSheetId="5">#REF!</definedName>
    <definedName name="_TPN1604" localSheetId="6">#REF!</definedName>
    <definedName name="_TPN1604" localSheetId="0">[2]BASE!$D$170</definedName>
    <definedName name="_TPN1604">#REF!</definedName>
    <definedName name="_TPN1606" localSheetId="5">#REF!</definedName>
    <definedName name="_TPN1606" localSheetId="6">#REF!</definedName>
    <definedName name="_TPN1606" localSheetId="0">[32]BASE!$D$869</definedName>
    <definedName name="_TPN1606">#REF!</definedName>
    <definedName name="_TPN1608" localSheetId="5">#REF!</definedName>
    <definedName name="_TPN1608" localSheetId="6">#REF!</definedName>
    <definedName name="_TPN1608" localSheetId="0">[2]BASE!$D$172</definedName>
    <definedName name="_TPN1608">#REF!</definedName>
    <definedName name="_TPN1610" localSheetId="5">#REF!</definedName>
    <definedName name="_TPN1610" localSheetId="6">#REF!</definedName>
    <definedName name="_TPN1610">#REF!</definedName>
    <definedName name="_TPN1611" localSheetId="5">[33]BASE!$D$893</definedName>
    <definedName name="_TPN1611" localSheetId="6">[33]BASE!$D$893</definedName>
    <definedName name="_TPN1611" localSheetId="0">[33]BASE!$D$893</definedName>
    <definedName name="_TPN1611">[33]BASE!$D$893</definedName>
    <definedName name="_TPN2096" localSheetId="10">[32]BASE!$D$876</definedName>
    <definedName name="_TPN2096">[32]BASE!$D$876</definedName>
    <definedName name="_TPVCME" localSheetId="5">[25]BASE!$D$92</definedName>
    <definedName name="_TPVCME" localSheetId="6">[25]BASE!$D$92</definedName>
    <definedName name="_TPVCME" localSheetId="0">[25]BASE!$D$92</definedName>
    <definedName name="_TPVCME">[25]BASE!$D$92</definedName>
    <definedName name="_TPVCP1" localSheetId="5">[25]BASE!$D$93</definedName>
    <definedName name="_TPVCP1" localSheetId="6">[25]BASE!$D$93</definedName>
    <definedName name="_TPVCP1" localSheetId="0">[25]BASE!$D$93</definedName>
    <definedName name="_TPVCP1">[25]BASE!$D$93</definedName>
    <definedName name="_TR114" localSheetId="5">#REF!</definedName>
    <definedName name="_TR114" localSheetId="6">#REF!</definedName>
    <definedName name="_TR114" localSheetId="0">[2]BASE!$D$266</definedName>
    <definedName name="_TR114">#REF!</definedName>
    <definedName name="_TRANAG" localSheetId="5">[29]BASE!$D$135</definedName>
    <definedName name="_TRANAG" localSheetId="6">[29]BASE!$D$135</definedName>
    <definedName name="_TRANAG" localSheetId="0">[25]BASE!$D$1793</definedName>
    <definedName name="_TRANAG">[29]BASE!$D$135</definedName>
    <definedName name="_TRANAR" localSheetId="5">[29]BASE!$D$129</definedName>
    <definedName name="_TRANAR" localSheetId="6">[29]BASE!$D$129</definedName>
    <definedName name="_TRANAR" localSheetId="0">[25]BASE!$D$1784</definedName>
    <definedName name="_TRANAR">[29]BASE!$D$129</definedName>
    <definedName name="_TRANS" localSheetId="5">[29]BASE!$D$130</definedName>
    <definedName name="_TRANS" localSheetId="6">[29]BASE!$D$130</definedName>
    <definedName name="_TRANS" localSheetId="0">[25]BASE!$D$1785</definedName>
    <definedName name="_TRANS">[29]BASE!$D$130</definedName>
    <definedName name="_TRITM" localSheetId="5">[25]BASE!$D$72</definedName>
    <definedName name="_TRITM" localSheetId="6">[25]BASE!$D$72</definedName>
    <definedName name="_TRITM" localSheetId="0">[25]BASE!$D$72</definedName>
    <definedName name="_TRITM">[25]BASE!$D$72</definedName>
    <definedName name="_TRITU" localSheetId="5">[29]BASE!$D$63</definedName>
    <definedName name="_TRITU" localSheetId="6">[29]BASE!$D$63</definedName>
    <definedName name="_TRITU" localSheetId="0">[25]BASE!$D$66</definedName>
    <definedName name="_TRITU">[29]BASE!$D$63</definedName>
    <definedName name="_TUBS4" localSheetId="5">[25]BASE!$D$1489</definedName>
    <definedName name="_TUBS4" localSheetId="6">[25]BASE!$D$1489</definedName>
    <definedName name="_TUBS4" localSheetId="0">[25]BASE!$D$1489</definedName>
    <definedName name="_TUBS4">[25]BASE!$D$1489</definedName>
    <definedName name="_TUBS6" localSheetId="5">[25]BASE!$D$1490</definedName>
    <definedName name="_TUBS6" localSheetId="6">[25]BASE!$D$1490</definedName>
    <definedName name="_TUBS6" localSheetId="0">[25]BASE!$D$1490</definedName>
    <definedName name="_TUBS6">[25]BASE!$D$1490</definedName>
    <definedName name="_TUZ22" localSheetId="5">'[9]BASE ORIGINAL'!#REF!</definedName>
    <definedName name="_TUZ22" localSheetId="6">'[9]BASE ORIGINAL'!#REF!</definedName>
    <definedName name="_TUZ22" localSheetId="0">'[9]BASE ORIGINAL'!#REF!</definedName>
    <definedName name="_TUZ22">'[9]BASE ORIGINAL'!#REF!</definedName>
    <definedName name="_TUZ36" localSheetId="5">'[9]BASE ORIGINAL'!#REF!</definedName>
    <definedName name="_TUZ36" localSheetId="6">'[9]BASE ORIGINAL'!#REF!</definedName>
    <definedName name="_TUZ36" localSheetId="0">'[9]BASE ORIGINAL'!#REF!</definedName>
    <definedName name="_TUZ36">'[9]BASE ORIGINAL'!#REF!</definedName>
    <definedName name="_TZ133" localSheetId="5">[33]BASE!$D$162</definedName>
    <definedName name="_TZ133" localSheetId="6">[33]BASE!$D$162</definedName>
    <definedName name="_TZ133" localSheetId="0">[33]BASE!$D$162</definedName>
    <definedName name="_TZ133">[33]BASE!$D$162</definedName>
    <definedName name="_TZ2110" localSheetId="0">[24]BASE!$D$79</definedName>
    <definedName name="_TZ2110" localSheetId="1">[1]BASE!$D$79</definedName>
    <definedName name="_TZ2110">[1]BASE!$D$79</definedName>
    <definedName name="_TZ2112" localSheetId="5">#REF!</definedName>
    <definedName name="_TZ2112" localSheetId="6">#REF!</definedName>
    <definedName name="_TZ2112" localSheetId="0">[2]BASE!$D$90</definedName>
    <definedName name="_TZ2112">#REF!</definedName>
    <definedName name="_TZ2114" localSheetId="5">#REF!</definedName>
    <definedName name="_TZ2114" localSheetId="6">#REF!</definedName>
    <definedName name="_TZ2114" localSheetId="0">[16]BASE!$D$92</definedName>
    <definedName name="_TZ2114">#REF!</definedName>
    <definedName name="_TZ2116" localSheetId="5">#REF!</definedName>
    <definedName name="_TZ2116" localSheetId="6">#REF!</definedName>
    <definedName name="_TZ2116" localSheetId="0">[2]BASE!$D$92</definedName>
    <definedName name="_TZ2116">#REF!</definedName>
    <definedName name="_TZ212" localSheetId="5">#REF!</definedName>
    <definedName name="_TZ212" localSheetId="6">#REF!</definedName>
    <definedName name="_TZ212" localSheetId="0">[25]BASE!$D$95</definedName>
    <definedName name="_TZ212">#REF!</definedName>
    <definedName name="_TZ213" localSheetId="5">#REF!</definedName>
    <definedName name="_TZ213" localSheetId="6">#REF!</definedName>
    <definedName name="_TZ213" localSheetId="0">[25]BASE!$D$97</definedName>
    <definedName name="_TZ213">#REF!</definedName>
    <definedName name="_TZ214" localSheetId="5">[7]BASE!$D$86</definedName>
    <definedName name="_TZ214" localSheetId="6">[7]BASE!$D$86</definedName>
    <definedName name="_TZ214" localSheetId="0">[7]BASE!$D$86</definedName>
    <definedName name="_TZ214">[7]BASE!$D$86</definedName>
    <definedName name="_TZ216" localSheetId="5">[7]BASE!$D$87</definedName>
    <definedName name="_TZ216" localSheetId="6">[7]BASE!$D$87</definedName>
    <definedName name="_TZ216" localSheetId="0">[7]BASE!$D$87</definedName>
    <definedName name="_TZ216">[7]BASE!$D$87</definedName>
    <definedName name="_TZ218" localSheetId="5">#REF!</definedName>
    <definedName name="_TZ218" localSheetId="6">#REF!</definedName>
    <definedName name="_TZ218" localSheetId="0">[2]BASE!$D$88</definedName>
    <definedName name="_TZ218">#REF!</definedName>
    <definedName name="_TZ225" localSheetId="5">#REF!</definedName>
    <definedName name="_TZ225" localSheetId="6">#REF!</definedName>
    <definedName name="_TZ225" localSheetId="0">[16]BASE!$D$85</definedName>
    <definedName name="_TZ225">#REF!</definedName>
    <definedName name="_TZ2610" localSheetId="5">#REF!</definedName>
    <definedName name="_TZ2610" localSheetId="6">#REF!</definedName>
    <definedName name="_TZ2610" localSheetId="0">[2]BASE!$D$99</definedName>
    <definedName name="_TZ2610">#REF!</definedName>
    <definedName name="_TZ2612" localSheetId="5">#REF!</definedName>
    <definedName name="_TZ2612" localSheetId="6">#REF!</definedName>
    <definedName name="_TZ2612">#REF!</definedName>
    <definedName name="_TZ262" localSheetId="5">#REF!</definedName>
    <definedName name="_TZ262" localSheetId="6">#REF!</definedName>
    <definedName name="_TZ262" localSheetId="0">[16]BASE!$D$95</definedName>
    <definedName name="_TZ262">#REF!</definedName>
    <definedName name="_TZ263" localSheetId="5">#REF!</definedName>
    <definedName name="_TZ263" localSheetId="6">#REF!</definedName>
    <definedName name="_TZ263" localSheetId="0">[16]BASE!$D$96</definedName>
    <definedName name="_TZ263">#REF!</definedName>
    <definedName name="_TZ264" localSheetId="5">#REF!</definedName>
    <definedName name="_TZ264" localSheetId="6">#REF!</definedName>
    <definedName name="_TZ264" localSheetId="0">[2]BASE!$D$96</definedName>
    <definedName name="_TZ264">#REF!</definedName>
    <definedName name="_TZ266" localSheetId="5">#REF!</definedName>
    <definedName name="_TZ266" localSheetId="6">#REF!</definedName>
    <definedName name="_TZ266" localSheetId="0">[2]BASE!$D$97</definedName>
    <definedName name="_TZ266">#REF!</definedName>
    <definedName name="_TZ268">[4]BASE!$D$85</definedName>
    <definedName name="_TZ323" localSheetId="5">'[9]BASE ORIGINAL'!#REF!</definedName>
    <definedName name="_TZ323" localSheetId="6">'[9]BASE ORIGINAL'!#REF!</definedName>
    <definedName name="_TZ323" localSheetId="0">'[9]BASE ORIGINAL'!#REF!</definedName>
    <definedName name="_TZ323">'[9]BASE ORIGINAL'!#REF!</definedName>
    <definedName name="_TZ324" localSheetId="5">'[9]BASE ORIGINAL'!#REF!</definedName>
    <definedName name="_TZ324" localSheetId="6">'[9]BASE ORIGINAL'!#REF!</definedName>
    <definedName name="_TZ324" localSheetId="0">'[9]BASE ORIGINAL'!#REF!</definedName>
    <definedName name="_TZ324">'[9]BASE ORIGINAL'!#REF!</definedName>
    <definedName name="_TZ32510" localSheetId="5">[7]BASE!$D$106</definedName>
    <definedName name="_TZ32510" localSheetId="6">[7]BASE!$D$106</definedName>
    <definedName name="_TZ32510" localSheetId="0">[7]BASE!$D$106</definedName>
    <definedName name="_TZ32510">[7]BASE!$D$106</definedName>
    <definedName name="_TZ32512" localSheetId="5">#REF!</definedName>
    <definedName name="_TZ32512" localSheetId="6">#REF!</definedName>
    <definedName name="_TZ32512">#REF!</definedName>
    <definedName name="_TZ3253" localSheetId="5">#REF!</definedName>
    <definedName name="_TZ3253" localSheetId="6">#REF!</definedName>
    <definedName name="_TZ3253" localSheetId="0">[2]BASE!$D$102</definedName>
    <definedName name="_TZ3253">#REF!</definedName>
    <definedName name="_TZ3254" localSheetId="5">#REF!</definedName>
    <definedName name="_TZ3254" localSheetId="6">#REF!</definedName>
    <definedName name="_TZ3254" localSheetId="0">[25]BASE!$D$124</definedName>
    <definedName name="_TZ3254">#REF!</definedName>
    <definedName name="_TZ3256" localSheetId="5">#REF!</definedName>
    <definedName name="_TZ3256" localSheetId="6">#REF!</definedName>
    <definedName name="_TZ3256" localSheetId="0">[25]BASE!$D$125</definedName>
    <definedName name="_TZ3256">#REF!</definedName>
    <definedName name="_TZ3258" localSheetId="5">#REF!</definedName>
    <definedName name="_TZ3258" localSheetId="6">#REF!</definedName>
    <definedName name="_TZ3258">#REF!</definedName>
    <definedName name="_TZ4110" localSheetId="5">#REF!</definedName>
    <definedName name="_TZ4110" localSheetId="6">#REF!</definedName>
    <definedName name="_TZ4110">#REF!</definedName>
    <definedName name="_TZ4112" localSheetId="5">#REF!</definedName>
    <definedName name="_TZ4112" localSheetId="6">#REF!</definedName>
    <definedName name="_TZ4112">#REF!</definedName>
    <definedName name="_TZ414" localSheetId="5">#REF!</definedName>
    <definedName name="_TZ414" localSheetId="6">#REF!</definedName>
    <definedName name="_TZ414">#REF!</definedName>
    <definedName name="_TZ416" localSheetId="5">#REF!</definedName>
    <definedName name="_TZ416" localSheetId="6">#REF!</definedName>
    <definedName name="_TZ416" localSheetId="0">[25]BASE!$D$135</definedName>
    <definedName name="_TZ416">#REF!</definedName>
    <definedName name="_TZ418" localSheetId="5">#REF!</definedName>
    <definedName name="_TZ418" localSheetId="6">#REF!</definedName>
    <definedName name="_TZ418" localSheetId="0">[2]BASE!$D$111</definedName>
    <definedName name="_TZ418">#REF!</definedName>
    <definedName name="_UDD06" localSheetId="5">#REF!</definedName>
    <definedName name="_UDD06" localSheetId="6">#REF!</definedName>
    <definedName name="_UDD06" localSheetId="0">[2]BASE!$D$390</definedName>
    <definedName name="_UDD06">#REF!</definedName>
    <definedName name="_UDD08" localSheetId="5">#REF!</definedName>
    <definedName name="_UDD08" localSheetId="6">#REF!</definedName>
    <definedName name="_UDD08" localSheetId="0">[2]BASE!$D$391</definedName>
    <definedName name="_UDD08">#REF!</definedName>
    <definedName name="_UNI32" localSheetId="5">#REF!</definedName>
    <definedName name="_UNI32" localSheetId="6">#REF!</definedName>
    <definedName name="_UNI32" localSheetId="0">[2]BASE!$D$186</definedName>
    <definedName name="_UNI32">#REF!</definedName>
    <definedName name="_UNL24" localSheetId="5">#REF!</definedName>
    <definedName name="_UNL24" localSheetId="6">#REF!</definedName>
    <definedName name="_UNL24" localSheetId="0">[2]BASE!$D$233</definedName>
    <definedName name="_UNL24">#REF!</definedName>
    <definedName name="_UNL27" localSheetId="5">#REF!</definedName>
    <definedName name="_UNL27" localSheetId="6">#REF!</definedName>
    <definedName name="_UNL27" localSheetId="0">[2]BASE!$D$234</definedName>
    <definedName name="_UNL27">#REF!</definedName>
    <definedName name="_UNL30" localSheetId="5">#REF!</definedName>
    <definedName name="_UNL30" localSheetId="6">#REF!</definedName>
    <definedName name="_UNL30" localSheetId="0">[2]BASE!$D$235</definedName>
    <definedName name="_UNL30">#REF!</definedName>
    <definedName name="_UNL33" localSheetId="5">#REF!</definedName>
    <definedName name="_UNL33" localSheetId="6">#REF!</definedName>
    <definedName name="_UNL33" localSheetId="0">[2]BASE!$D$236</definedName>
    <definedName name="_UNL33">#REF!</definedName>
    <definedName name="_UNL36" localSheetId="5">#REF!</definedName>
    <definedName name="_UNL36" localSheetId="6">#REF!</definedName>
    <definedName name="_UNL36" localSheetId="0">[2]BASE!$D$237</definedName>
    <definedName name="_UNL36">#REF!</definedName>
    <definedName name="_UNL39" localSheetId="5">#REF!</definedName>
    <definedName name="_UNL39" localSheetId="6">#REF!</definedName>
    <definedName name="_UNL39" localSheetId="0">[2]BASE!$D$238</definedName>
    <definedName name="_UNL39">#REF!</definedName>
    <definedName name="_UNL42" localSheetId="5">#REF!</definedName>
    <definedName name="_UNL42" localSheetId="6">#REF!</definedName>
    <definedName name="_UNL42">#REF!</definedName>
    <definedName name="_UNL45" localSheetId="5">#REF!</definedName>
    <definedName name="_UNL45" localSheetId="6">#REF!</definedName>
    <definedName name="_UNL45" localSheetId="0">[2]BASE!$D$240</definedName>
    <definedName name="_UNL45">#REF!</definedName>
    <definedName name="_UNL48" localSheetId="5">#REF!</definedName>
    <definedName name="_UNL48" localSheetId="6">#REF!</definedName>
    <definedName name="_UNL48" localSheetId="0">[2]BASE!$D$241</definedName>
    <definedName name="_UNL48">#REF!</definedName>
    <definedName name="_UNL51" localSheetId="5">#REF!</definedName>
    <definedName name="_UNL51" localSheetId="6">#REF!</definedName>
    <definedName name="_UNL51">#REF!</definedName>
    <definedName name="_UNL54" localSheetId="5">#REF!</definedName>
    <definedName name="_UNL54" localSheetId="6">#REF!</definedName>
    <definedName name="_UNL54">#REF!</definedName>
    <definedName name="_UNL60" localSheetId="5">#REF!</definedName>
    <definedName name="_UNL60" localSheetId="6">#REF!</definedName>
    <definedName name="_UNL60">#REF!</definedName>
    <definedName name="_UREP3" localSheetId="5">[25]BASE!$D$169</definedName>
    <definedName name="_UREP3" localSheetId="6">[25]BASE!$D$169</definedName>
    <definedName name="_UREP3" localSheetId="0">[25]BASE!$D$169</definedName>
    <definedName name="_UREP3">[25]BASE!$D$169</definedName>
    <definedName name="_VCEL2" localSheetId="5">[25]BASE!$D$1721</definedName>
    <definedName name="_VCEL2" localSheetId="6">[25]BASE!$D$1721</definedName>
    <definedName name="_VCEL2" localSheetId="0">[25]BASE!$D$1721</definedName>
    <definedName name="_VCEL2">[25]BASE!$D$1721</definedName>
    <definedName name="_VCEL3" localSheetId="5">[25]BASE!$D$1720</definedName>
    <definedName name="_VCEL3" localSheetId="6">[25]BASE!$D$1720</definedName>
    <definedName name="_VCEL3" localSheetId="0">[25]BASE!$D$1720</definedName>
    <definedName name="_VCEL3">[25]BASE!$D$1720</definedName>
    <definedName name="_VCELA3" localSheetId="5">[25]BASE!$D$1725</definedName>
    <definedName name="_VCELA3" localSheetId="6">[25]BASE!$D$1725</definedName>
    <definedName name="_VCELA3" localSheetId="0">[25]BASE!$D$1725</definedName>
    <definedName name="_VCELA3">[25]BASE!$D$1725</definedName>
    <definedName name="_VEN04" localSheetId="5">#REF!</definedName>
    <definedName name="_VEN04" localSheetId="6">#REF!</definedName>
    <definedName name="_VEN04">#REF!</definedName>
    <definedName name="_VIAJE" localSheetId="5">[29]BASE!$D$131</definedName>
    <definedName name="_VIAJE" localSheetId="6">[29]BASE!$D$131</definedName>
    <definedName name="_VIAJE" localSheetId="0">[25]BASE!$D$1786</definedName>
    <definedName name="_VIAJE">[29]BASE!$D$131</definedName>
    <definedName name="_VIBGA" localSheetId="5">[29]BASE!$D$99</definedName>
    <definedName name="_VIBGA" localSheetId="6">[29]BASE!$D$99</definedName>
    <definedName name="_VIBGA" localSheetId="0">[25]BASE!$D$1754</definedName>
    <definedName name="_VIBGA">[29]BASE!$D$99</definedName>
    <definedName name="_VIBRE" localSheetId="5">[29]BASE!$D$100</definedName>
    <definedName name="_VIBRE" localSheetId="6">[29]BASE!$D$100</definedName>
    <definedName name="_VIBRE" localSheetId="0">[25]BASE!$D$1755</definedName>
    <definedName name="_VIBRE">[29]BASE!$D$100</definedName>
    <definedName name="_VIDRI" localSheetId="5">[25]BASE!$D$1687</definedName>
    <definedName name="_VIDRI" localSheetId="6">[25]BASE!$D$1687</definedName>
    <definedName name="_VIDRI" localSheetId="0">[25]BASE!$D$1687</definedName>
    <definedName name="_VIDRI">[25]BASE!$D$1687</definedName>
    <definedName name="a" localSheetId="0">[5]REAJUSTESACTA1PROVI!#REF!</definedName>
    <definedName name="a">[34]BASE!$D$8</definedName>
    <definedName name="A_impresión_IM" localSheetId="5">#N/A</definedName>
    <definedName name="A_impresión_IM" localSheetId="6">#N/A</definedName>
    <definedName name="A_impresión_IM" localSheetId="0">#N/A</definedName>
    <definedName name="A_impresión_IM">#N/A</definedName>
    <definedName name="A40FI" localSheetId="5">#REF!</definedName>
    <definedName name="A40FI" localSheetId="6">#REF!</definedName>
    <definedName name="A40FI" localSheetId="0">[25]BASE!$D$28</definedName>
    <definedName name="A40FI">#REF!</definedName>
    <definedName name="A40LI" localSheetId="0">[1]BASE!$D$22</definedName>
    <definedName name="A40LI" localSheetId="1">[1]BASE!$D$22</definedName>
    <definedName name="A40LI">[1]BASE!$D$22</definedName>
    <definedName name="A60FI" localSheetId="0">[1]BASE!$D$21</definedName>
    <definedName name="A60FI" localSheetId="1">[1]BASE!$D$21</definedName>
    <definedName name="A60FI">[1]BASE!$D$21</definedName>
    <definedName name="A60FI1" localSheetId="5">#REF!</definedName>
    <definedName name="A60FI1" localSheetId="6">#REF!</definedName>
    <definedName name="A60FI1" localSheetId="0">[32]BASE!$D$26</definedName>
    <definedName name="A60FI1">#REF!</definedName>
    <definedName name="AB" localSheetId="5">#N/A</definedName>
    <definedName name="AB" localSheetId="6">#N/A</definedName>
    <definedName name="AB">#N/A</definedName>
    <definedName name="AC" localSheetId="5">#N/A</definedName>
    <definedName name="AC" localSheetId="6">#N/A</definedName>
    <definedName name="AC">#N/A</definedName>
    <definedName name="ACARRH" localSheetId="5">[33]BASE!$D$136</definedName>
    <definedName name="ACARRH" localSheetId="6">[33]BASE!$D$136</definedName>
    <definedName name="ACARRH" localSheetId="0">[33]BASE!$D$136</definedName>
    <definedName name="ACARRH">[33]BASE!$D$136</definedName>
    <definedName name="ACOM" localSheetId="5">#REF!</definedName>
    <definedName name="ACOM" localSheetId="6">#REF!</definedName>
    <definedName name="ACOM" localSheetId="0">#REF!</definedName>
    <definedName name="ACOM">#REF!</definedName>
    <definedName name="ACOND" localSheetId="0">[1]BASE!$D$215</definedName>
    <definedName name="ACOND" localSheetId="1">[1]BASE!$D$215</definedName>
    <definedName name="ACOND">[1]BASE!$D$215</definedName>
    <definedName name="ACPM" localSheetId="5">#REF!</definedName>
    <definedName name="ACPM" localSheetId="6">#REF!</definedName>
    <definedName name="ACPM">#REF!</definedName>
    <definedName name="Acta" localSheetId="5">#N/A</definedName>
    <definedName name="Acta" localSheetId="6">#N/A</definedName>
    <definedName name="Acta" localSheetId="0">#N/A</definedName>
    <definedName name="Acta">#N/A</definedName>
    <definedName name="Acta1" localSheetId="5">#N/A</definedName>
    <definedName name="Acta1" localSheetId="6">#N/A</definedName>
    <definedName name="Acta1" localSheetId="0">#N/A</definedName>
    <definedName name="Acta1">#N/A</definedName>
    <definedName name="actividad" localSheetId="5">#REF!</definedName>
    <definedName name="actividad" localSheetId="6">#REF!</definedName>
    <definedName name="actividad" localSheetId="0">[35]datos!$D$2:$D$63</definedName>
    <definedName name="actividad">#REF!</definedName>
    <definedName name="actividades" localSheetId="5">'[2]base de datos'!$P$3:$P$62</definedName>
    <definedName name="actividades" localSheetId="6">'[2]base de datos'!$P$3:$P$62</definedName>
    <definedName name="actividades" localSheetId="0">'[2]base de datos'!$P$3:$P$62</definedName>
    <definedName name="actividades">'[2]base de datos'!$P$3:$P$62</definedName>
    <definedName name="AD" localSheetId="5">'[2]BASE ORIGINAL'!#REF!</definedName>
    <definedName name="AD" localSheetId="6">'[2]BASE ORIGINAL'!#REF!</definedName>
    <definedName name="AD">'[2]BASE ORIGINAL'!#REF!</definedName>
    <definedName name="ADMINISTRA">[36]AIU!$C$38</definedName>
    <definedName name="ADMM" localSheetId="5">#REF!</definedName>
    <definedName name="ADMM" localSheetId="6">#REF!</definedName>
    <definedName name="ADMM" localSheetId="0">[25]BASE!$D$181</definedName>
    <definedName name="ADMM">#REF!</definedName>
    <definedName name="AE" localSheetId="5">'[2]BASE ORIGINAL'!#REF!</definedName>
    <definedName name="AE" localSheetId="6">'[2]BASE ORIGINAL'!#REF!</definedName>
    <definedName name="AE">'[2]BASE ORIGINAL'!#REF!</definedName>
    <definedName name="AF" localSheetId="5">'[2]BASE ORIGINAL'!#REF!</definedName>
    <definedName name="AF" localSheetId="6">'[2]BASE ORIGINAL'!#REF!</definedName>
    <definedName name="AF">'[2]BASE ORIGINAL'!#REF!</definedName>
    <definedName name="AG" localSheetId="5">'[2]BASE ORIGINAL'!#REF!</definedName>
    <definedName name="AG" localSheetId="6">'[2]BASE ORIGINAL'!#REF!</definedName>
    <definedName name="ag">'FICHAS '!$K$6</definedName>
    <definedName name="AGRICOLA" localSheetId="0">[37]PRES.AGRI!$B$1:$N$35</definedName>
    <definedName name="AGRICOLA">[38]PRES.AGRI!$B$1:$N$35</definedName>
    <definedName name="AGUA" localSheetId="0">[1]BASE!$D$340</definedName>
    <definedName name="AGUA" localSheetId="1">[1]BASE!$D$340</definedName>
    <definedName name="AGUA">[1]BASE!$D$340</definedName>
    <definedName name="AH" localSheetId="5">#REF!</definedName>
    <definedName name="AH" localSheetId="6">#REF!</definedName>
    <definedName name="AH">#REF!</definedName>
    <definedName name="AI" localSheetId="5">#REF!</definedName>
    <definedName name="AI" localSheetId="6">#REF!</definedName>
    <definedName name="AI">#REF!</definedName>
    <definedName name="AIU" localSheetId="0">[1]BASE!$C$3</definedName>
    <definedName name="AIU" localSheetId="1">[1]BASE!$C$3</definedName>
    <definedName name="AIU">[1]BASE!$C$3</definedName>
    <definedName name="AIU." localSheetId="5">#REF!</definedName>
    <definedName name="AIU." localSheetId="6">#REF!</definedName>
    <definedName name="AIU." localSheetId="0">[39]BASE!$C$3</definedName>
    <definedName name="AIU.">#REF!</definedName>
    <definedName name="AIU_2">[40]AIU!$C$44</definedName>
    <definedName name="aiun" localSheetId="5">#REF!</definedName>
    <definedName name="aiun" localSheetId="6">#REF!</definedName>
    <definedName name="aiun" localSheetId="0">#N/A</definedName>
    <definedName name="aiun">#REF!</definedName>
    <definedName name="AJ">[5]REAJUSTESACTA1PROVI!#REF!</definedName>
    <definedName name="Ajizal" localSheetId="0">#REF!</definedName>
    <definedName name="Ajizal">#REF!</definedName>
    <definedName name="AK" localSheetId="5">#N/A</definedName>
    <definedName name="AK" localSheetId="6">#N/A</definedName>
    <definedName name="AK">#N/A</definedName>
    <definedName name="AL" localSheetId="5">#REF!</definedName>
    <definedName name="AL" localSheetId="6">#REF!</definedName>
    <definedName name="AL">#REF!</definedName>
    <definedName name="ALANR" localSheetId="5">[7]BASE!$D$23</definedName>
    <definedName name="ALANR" localSheetId="6">[7]BASE!$D$23</definedName>
    <definedName name="ALANR" localSheetId="0">[7]BASE!$D$23</definedName>
    <definedName name="ALANR">[7]BASE!$D$23</definedName>
    <definedName name="ale" localSheetId="5">#REF!</definedName>
    <definedName name="ale" localSheetId="6">#REF!</definedName>
    <definedName name="ale" localSheetId="0">[41]BASE!#REF!</definedName>
    <definedName name="ale">#REF!</definedName>
    <definedName name="ALPUA" localSheetId="0">[1]BASE!$D$244</definedName>
    <definedName name="ALPUA" localSheetId="1">[1]BASE!$D$244</definedName>
    <definedName name="ALPUA">[1]BASE!$D$244</definedName>
    <definedName name="AM" localSheetId="5">#N/A</definedName>
    <definedName name="AM" localSheetId="6">#N/A</definedName>
    <definedName name="AM">#N/A</definedName>
    <definedName name="AN" localSheetId="5">#N/A</definedName>
    <definedName name="AN" localSheetId="6">#N/A</definedName>
    <definedName name="AN">#N/A</definedName>
    <definedName name="ANDAM" localSheetId="0">[1]BASE!$D$320</definedName>
    <definedName name="ANDAM" localSheetId="1">[1]BASE!$D$320</definedName>
    <definedName name="ANDAM">[1]BASE!$D$320</definedName>
    <definedName name="ANTRA" localSheetId="5">#REF!</definedName>
    <definedName name="ANTRA" localSheetId="6">#REF!</definedName>
    <definedName name="ANTRA" localSheetId="0">[25]BASE!$D$71</definedName>
    <definedName name="ANTRA">#REF!</definedName>
    <definedName name="AÑO" localSheetId="5">'[2]base de datos'!$Y$3:$Y$11</definedName>
    <definedName name="AÑO" localSheetId="6">'[2]base de datos'!$Y$3:$Y$11</definedName>
    <definedName name="año" localSheetId="0">[35]datos!$H$2:$H$10</definedName>
    <definedName name="AÑO">'[2]base de datos'!$Y$3:$Y$11</definedName>
    <definedName name="AO" localSheetId="5">#N/A</definedName>
    <definedName name="AO" localSheetId="6">#N/A</definedName>
    <definedName name="AO">#N/A</definedName>
    <definedName name="AP" localSheetId="5">#N/A</definedName>
    <definedName name="AP" localSheetId="6">#N/A</definedName>
    <definedName name="AP">#N/A</definedName>
    <definedName name="AQ" localSheetId="5">#N/A</definedName>
    <definedName name="AQ" localSheetId="6">#N/A</definedName>
    <definedName name="AQ">#N/A</definedName>
    <definedName name="AR" localSheetId="5">#N/A</definedName>
    <definedName name="AR" localSheetId="6">#N/A</definedName>
    <definedName name="AR">#N/A</definedName>
    <definedName name="ARANA" localSheetId="5">#REF!</definedName>
    <definedName name="ARANA" localSheetId="6">#REF!</definedName>
    <definedName name="ARANA" localSheetId="0">[2]BASE!$D$459</definedName>
    <definedName name="ARANA">#REF!</definedName>
    <definedName name="Área_de_Cantidades" localSheetId="0">#REF!</definedName>
    <definedName name="Área_de_Cantidades">#REF!</definedName>
    <definedName name="_xlnm.Print_Area" localSheetId="0">'Plan ejecución'!$A$1:$AC$51</definedName>
    <definedName name="_xlnm.Print_Area" localSheetId="2">'ppto sistema septico'!$C$1:$AM$90</definedName>
    <definedName name="_xlnm.Print_Area" localSheetId="1">'Presupuesto Convenio '!$A$1:$I$130</definedName>
    <definedName name="_xlnm.Print_Area">#REF!</definedName>
    <definedName name="areaprotegida" localSheetId="5">'[2]base de datos'!$S$3:$S$12</definedName>
    <definedName name="areaprotegida" localSheetId="6">'[2]base de datos'!$S$3:$S$12</definedName>
    <definedName name="areaprotegida" localSheetId="0">'[2]base de datos'!$S$3:$S$12</definedName>
    <definedName name="areaprotegida">'[2]base de datos'!$S$3:$S$12</definedName>
    <definedName name="ARELC" localSheetId="5">[42]BASE!$D$68</definedName>
    <definedName name="ARELC" localSheetId="6">[42]BASE!$D$68</definedName>
    <definedName name="ARELC" localSheetId="0">[42]BASE!$D$68</definedName>
    <definedName name="ARELC">[42]BASE!$D$68</definedName>
    <definedName name="ARELF" localSheetId="5">#REF!</definedName>
    <definedName name="ARELF" localSheetId="6">#REF!</definedName>
    <definedName name="ARELF" localSheetId="0">[25]BASE!$D$73</definedName>
    <definedName name="ARELF">#REF!</definedName>
    <definedName name="ARENC" localSheetId="5">[7]BASE!$D$59</definedName>
    <definedName name="ARENC" localSheetId="6">[7]BASE!$D$59</definedName>
    <definedName name="ARENC" localSheetId="0">[7]BASE!$D$59</definedName>
    <definedName name="ARENC">[7]BASE!$D$59</definedName>
    <definedName name="ARENI" localSheetId="5">#REF!</definedName>
    <definedName name="ARENI" localSheetId="6">#REF!</definedName>
    <definedName name="ARENI" localSheetId="0">[25]BASE!$D$64</definedName>
    <definedName name="ARENI">#REF!</definedName>
    <definedName name="ARENP" localSheetId="0">[1]BASE!$D$51</definedName>
    <definedName name="ARENP" localSheetId="1">[1]BASE!$D$51</definedName>
    <definedName name="ARENP">[1]BASE!$D$51</definedName>
    <definedName name="AS" localSheetId="5">#N/A</definedName>
    <definedName name="AS" localSheetId="6">#N/A</definedName>
    <definedName name="AS">#N/A</definedName>
    <definedName name="AT" localSheetId="5">#N/A</definedName>
    <definedName name="AT" localSheetId="6">#N/A</definedName>
    <definedName name="AT">#N/A</definedName>
    <definedName name="AU" localSheetId="5">#N/A</definedName>
    <definedName name="AU" localSheetId="6">#N/A</definedName>
    <definedName name="AU">#N/A</definedName>
    <definedName name="AV" localSheetId="5">#N/A</definedName>
    <definedName name="AV" localSheetId="6">#N/A</definedName>
    <definedName name="AV">#N/A</definedName>
    <definedName name="AW" localSheetId="5">'[2]BASE ORIGINAL'!#REF!</definedName>
    <definedName name="AW" localSheetId="6">'[2]BASE ORIGINAL'!#REF!</definedName>
    <definedName name="AW">'[2]BASE ORIGINAL'!#REF!</definedName>
    <definedName name="AX" localSheetId="5">'[2]BASE ORIGINAL'!#REF!</definedName>
    <definedName name="AX" localSheetId="6">'[2]BASE ORIGINAL'!#REF!</definedName>
    <definedName name="AX">'[2]BASE ORIGINAL'!#REF!</definedName>
    <definedName name="AY" localSheetId="5">'[2]BASE ORIGINAL'!#REF!</definedName>
    <definedName name="AY" localSheetId="6">'[2]BASE ORIGINAL'!#REF!</definedName>
    <definedName name="AY">'[2]BASE ORIGINAL'!#REF!</definedName>
    <definedName name="AYUDA" localSheetId="0">[1]BASE!$D$10</definedName>
    <definedName name="AYUDA" localSheetId="1">[1]BASE!$D$10</definedName>
    <definedName name="AYUDA">[1]BASE!$D$10</definedName>
    <definedName name="AYUDA_" localSheetId="5">[43]BASE!$D$12</definedName>
    <definedName name="AYUDA_" localSheetId="6">[43]BASE!$D$12</definedName>
    <definedName name="AYUDA_" localSheetId="0">[43]BASE!$D$12</definedName>
    <definedName name="AYUDA_">[43]BASE!$D$12</definedName>
    <definedName name="AYUDR" localSheetId="0">[1]BASE!$D$11</definedName>
    <definedName name="AYUDR" localSheetId="1">[1]BASE!$D$11</definedName>
    <definedName name="AYUDR">[1]BASE!$D$11</definedName>
    <definedName name="AZ" localSheetId="5">'[2]BASE ORIGINAL'!#REF!</definedName>
    <definedName name="AZ" localSheetId="6">'[2]BASE ORIGINAL'!#REF!</definedName>
    <definedName name="AZ">'[2]BASE ORIGINAL'!#REF!</definedName>
    <definedName name="B" localSheetId="5">#N/A</definedName>
    <definedName name="B" localSheetId="6">#N/A</definedName>
    <definedName name="b" localSheetId="0">[5]REAJUSTESACTA1PROVI!#REF!</definedName>
    <definedName name="B">#N/A</definedName>
    <definedName name="BA" localSheetId="5">#REF!</definedName>
    <definedName name="BA" localSheetId="6">#REF!</definedName>
    <definedName name="BA">#REF!</definedName>
    <definedName name="Base" localSheetId="5">#N/A</definedName>
    <definedName name="Base" localSheetId="6">#N/A</definedName>
    <definedName name="BASE" localSheetId="0">#REF!</definedName>
    <definedName name="Base">#N/A</definedName>
    <definedName name="BASEG" localSheetId="5">#REF!</definedName>
    <definedName name="BASEG" localSheetId="6">#REF!</definedName>
    <definedName name="BASEG" localSheetId="0">[25]BASE!$D$56</definedName>
    <definedName name="BASEG">#REF!</definedName>
    <definedName name="BB" localSheetId="5">#REF!</definedName>
    <definedName name="BB" localSheetId="6">#REF!</definedName>
    <definedName name="BB">#REF!</definedName>
    <definedName name="BC">[5]REAJUSTESACTA1PROVI!#REF!</definedName>
    <definedName name="BD" localSheetId="5">#N/A</definedName>
    <definedName name="BD" localSheetId="6">#N/A</definedName>
    <definedName name="BD">#N/A</definedName>
    <definedName name="BE" localSheetId="5">#REF!</definedName>
    <definedName name="BE" localSheetId="6">#REF!</definedName>
    <definedName name="BE">#REF!</definedName>
    <definedName name="BF" localSheetId="5">#N/A</definedName>
    <definedName name="BF" localSheetId="6">#N/A</definedName>
    <definedName name="BF">#N/A</definedName>
    <definedName name="BG" localSheetId="5">#N/A</definedName>
    <definedName name="BG" localSheetId="6">#N/A</definedName>
    <definedName name="BG">#N/A</definedName>
    <definedName name="BH" localSheetId="5">#N/A</definedName>
    <definedName name="BH" localSheetId="6">#N/A</definedName>
    <definedName name="BH">#N/A</definedName>
    <definedName name="BI" localSheetId="5">#N/A</definedName>
    <definedName name="BI" localSheetId="6">#N/A</definedName>
    <definedName name="BI">#N/A</definedName>
    <definedName name="BISCO" localSheetId="0">[4]BASE!$D$253</definedName>
    <definedName name="BISCO">[4]BASE!$D$253</definedName>
    <definedName name="BJ" localSheetId="5">#N/A</definedName>
    <definedName name="BJ" localSheetId="6">#N/A</definedName>
    <definedName name="BJ">#N/A</definedName>
    <definedName name="BK" localSheetId="5">#N/A</definedName>
    <definedName name="BK" localSheetId="6">#N/A</definedName>
    <definedName name="BK">#N/A</definedName>
    <definedName name="BL" localSheetId="5">#N/A</definedName>
    <definedName name="BL" localSheetId="6">#N/A</definedName>
    <definedName name="BL">#N/A</definedName>
    <definedName name="BM" localSheetId="5">#N/A</definedName>
    <definedName name="BM" localSheetId="6">#N/A</definedName>
    <definedName name="BM">#N/A</definedName>
    <definedName name="BN" localSheetId="5">#N/A</definedName>
    <definedName name="BN" localSheetId="6">#N/A</definedName>
    <definedName name="BN">#N/A</definedName>
    <definedName name="BO" localSheetId="5">#N/A</definedName>
    <definedName name="BO" localSheetId="6">#N/A</definedName>
    <definedName name="BO">#N/A</definedName>
    <definedName name="BOMBA" localSheetId="0">[1]BASE!$D$323</definedName>
    <definedName name="BOMBA" localSheetId="1">[1]BASE!$D$323</definedName>
    <definedName name="BOMBA">[1]BASE!$D$323</definedName>
    <definedName name="BOTAD" localSheetId="0">[1]BASE!$D$331</definedName>
    <definedName name="BOTAD" localSheetId="1">[1]BASE!$D$331</definedName>
    <definedName name="BOTAD">[1]BASE!$D$331</definedName>
    <definedName name="BOTADA" localSheetId="5">#REF!</definedName>
    <definedName name="BOTADA" localSheetId="6">#REF!</definedName>
    <definedName name="BOTADA" localSheetId="0">#N/A</definedName>
    <definedName name="BOTADA">#REF!</definedName>
    <definedName name="BOTES" localSheetId="0">[1]BASE!$D$335</definedName>
    <definedName name="BOTES" localSheetId="1">[1]BASE!$D$335</definedName>
    <definedName name="BOTES">[1]BASE!$D$335</definedName>
    <definedName name="BP" localSheetId="5">'[2]BASE ORIGINAL'!#REF!</definedName>
    <definedName name="BP" localSheetId="6">'[2]BASE ORIGINAL'!#REF!</definedName>
    <definedName name="BP">'[2]BASE ORIGINAL'!#REF!</definedName>
    <definedName name="BQ" localSheetId="5">'[2]BASE ORIGINAL'!#REF!</definedName>
    <definedName name="BQ" localSheetId="6">'[2]BASE ORIGINAL'!#REF!</definedName>
    <definedName name="BQ">'[2]BASE ORIGINAL'!#REF!</definedName>
    <definedName name="BR" localSheetId="5">'[2]BASE ORIGINAL'!#REF!</definedName>
    <definedName name="BR" localSheetId="6">'[2]BASE ORIGINAL'!#REF!</definedName>
    <definedName name="BR">'[2]BASE ORIGINAL'!#REF!</definedName>
    <definedName name="BROCH" localSheetId="5">#REF!</definedName>
    <definedName name="BROCH" localSheetId="6">#REF!</definedName>
    <definedName name="BROCH" localSheetId="0">[25]BASE!$D$1679</definedName>
    <definedName name="BROCH">#REF!</definedName>
    <definedName name="BS" localSheetId="5">'[2]BASE ORIGINAL'!#REF!</definedName>
    <definedName name="BS" localSheetId="6">'[2]BASE ORIGINAL'!#REF!</definedName>
    <definedName name="BS">'[2]BASE ORIGINAL'!#REF!</definedName>
    <definedName name="BSOL64" localSheetId="0">[1]BASE!$D$122</definedName>
    <definedName name="BSOL64" localSheetId="1">[1]BASE!$D$122</definedName>
    <definedName name="BSOL64">[1]BASE!$D$122</definedName>
    <definedName name="BT" localSheetId="5">#REF!</definedName>
    <definedName name="BT" localSheetId="6">#REF!</definedName>
    <definedName name="BT">#REF!</definedName>
    <definedName name="BU" localSheetId="5">#REF!</definedName>
    <definedName name="BU" localSheetId="6">#REF!</definedName>
    <definedName name="BU">#REF!</definedName>
    <definedName name="BuiltIn_Print_Area" localSheetId="5">#N/A</definedName>
    <definedName name="BuiltIn_Print_Area" localSheetId="6">#N/A</definedName>
    <definedName name="BuiltIn_Print_Area" localSheetId="0">#REF!</definedName>
    <definedName name="BuiltIn_Print_Area">#N/A</definedName>
    <definedName name="BuiltIn_Print_Area___0" localSheetId="5">#N/A</definedName>
    <definedName name="BuiltIn_Print_Area___0" localSheetId="6">#N/A</definedName>
    <definedName name="BuiltIn_Print_Area___0" localSheetId="0">#REF!</definedName>
    <definedName name="BuiltIn_Print_Area___0">#N/A</definedName>
    <definedName name="BuiltIn_Print_Area___0___0" localSheetId="0">#REF!</definedName>
    <definedName name="BuiltIn_Print_Area___0___0">#REF!</definedName>
    <definedName name="BuiltIn_Print_Area___0___0___0" localSheetId="0">#REF!</definedName>
    <definedName name="BuiltIn_Print_Area___0___0___0">#REF!</definedName>
    <definedName name="BuiltIn_Print_Titles" localSheetId="5">#N/A</definedName>
    <definedName name="BuiltIn_Print_Titles" localSheetId="6">#N/A</definedName>
    <definedName name="BuiltIn_Print_Titles" localSheetId="0">#REF!</definedName>
    <definedName name="BuiltIn_Print_Titles">#N/A</definedName>
    <definedName name="BULLDOZ" localSheetId="5">#REF!</definedName>
    <definedName name="BULLDOZ" localSheetId="6">#REF!</definedName>
    <definedName name="BULLDOZ" localSheetId="0">[2]BASE!$D$445</definedName>
    <definedName name="BULLDOZ">#REF!</definedName>
    <definedName name="BV">[5]REAJUSTESACTA1PROVI!#REF!</definedName>
    <definedName name="BW" localSheetId="5">#N/A</definedName>
    <definedName name="BW" localSheetId="6">#N/A</definedName>
    <definedName name="BW">#N/A</definedName>
    <definedName name="BX" localSheetId="5">#REF!</definedName>
    <definedName name="BX" localSheetId="6">#REF!</definedName>
    <definedName name="BX">#REF!</definedName>
    <definedName name="BY" localSheetId="5">#N/A</definedName>
    <definedName name="BY" localSheetId="6">#N/A</definedName>
    <definedName name="BY">#N/A</definedName>
    <definedName name="BZ" localSheetId="5">#N/A</definedName>
    <definedName name="BZ" localSheetId="6">#N/A</definedName>
    <definedName name="BZ">#N/A</definedName>
    <definedName name="C90445L" localSheetId="5">#REF!</definedName>
    <definedName name="C90445L" localSheetId="6">#REF!</definedName>
    <definedName name="C90445L" localSheetId="0">[44]BASE!$D$403</definedName>
    <definedName name="C90445L">#REF!</definedName>
    <definedName name="CA" localSheetId="5">#N/A</definedName>
    <definedName name="CA" localSheetId="6">#N/A</definedName>
    <definedName name="CA">#N/A</definedName>
    <definedName name="caa" localSheetId="5">#REF!</definedName>
    <definedName name="caa" localSheetId="6">#REF!</definedName>
    <definedName name="caa" localSheetId="0">#REF!</definedName>
    <definedName name="caa">#REF!</definedName>
    <definedName name="CABAL" localSheetId="5">[7]BASE!$D$396</definedName>
    <definedName name="CABAL" localSheetId="6">[7]BASE!$D$396</definedName>
    <definedName name="CABAL" localSheetId="0">[7]BASE!$D$396</definedName>
    <definedName name="CABAL">[7]BASE!$D$396</definedName>
    <definedName name="CAJAC" localSheetId="5">#REF!</definedName>
    <definedName name="CAJAC" localSheetId="6">#REF!</definedName>
    <definedName name="CAJAC" localSheetId="0">[2]BASE!$D$385</definedName>
    <definedName name="CAJAC">#REF!</definedName>
    <definedName name="CAJAV" localSheetId="0">[1]BASE!$D$296</definedName>
    <definedName name="CAJAV" localSheetId="1">[1]BASE!$D$296</definedName>
    <definedName name="CAJAV">[1]BASE!$D$296</definedName>
    <definedName name="CAJMI" localSheetId="5">#REF!</definedName>
    <definedName name="CAJMI" localSheetId="6">#REF!</definedName>
    <definedName name="CAJMI">#REF!</definedName>
    <definedName name="CAMBIO" localSheetId="5">#REF!</definedName>
    <definedName name="CAMBIO" localSheetId="6">#REF!</definedName>
    <definedName name="CAMBIO">#REF!</definedName>
    <definedName name="CANAL" localSheetId="5">#REF!</definedName>
    <definedName name="CANAL" localSheetId="6">#REF!</definedName>
    <definedName name="CANAL" localSheetId="0">[2]BASE!$D$388</definedName>
    <definedName name="CANAL">#REF!</definedName>
    <definedName name="CANAL6" localSheetId="0">[1]BASE!$D$264</definedName>
    <definedName name="CANAL6" localSheetId="1">[1]BASE!$D$264</definedName>
    <definedName name="CANAL6">[1]BASE!$D$264</definedName>
    <definedName name="CANGU" localSheetId="0">[1]BASE!$D$308</definedName>
    <definedName name="CANGU" localSheetId="1">[1]BASE!$D$308</definedName>
    <definedName name="CANGU">[1]BASE!$D$308</definedName>
    <definedName name="Cantidad" localSheetId="5">#N/A</definedName>
    <definedName name="Cantidad" localSheetId="6">#N/A</definedName>
    <definedName name="Cantidad" localSheetId="0">#N/A</definedName>
    <definedName name="Cantidad">#N/A</definedName>
    <definedName name="CAP" localSheetId="5">#N/A</definedName>
    <definedName name="CAP" localSheetId="6">#N/A</definedName>
    <definedName name="CAP" localSheetId="0">#N/A</definedName>
    <definedName name="CAP">#N/A</definedName>
    <definedName name="CARGAD" localSheetId="5">#REF!</definedName>
    <definedName name="CARGAD" localSheetId="6">#REF!</definedName>
    <definedName name="CARGAD" localSheetId="0">[2]BASE!$D$442</definedName>
    <definedName name="CARGAD">#REF!</definedName>
    <definedName name="CARGUER">[45]BASE!$D$392</definedName>
    <definedName name="CARRTA" localSheetId="5">#REF!</definedName>
    <definedName name="CARRTA" localSheetId="6">#REF!</definedName>
    <definedName name="CARRTA" localSheetId="0">[2]BASE!$D$447</definedName>
    <definedName name="CARRTA">#REF!</definedName>
    <definedName name="Casa" localSheetId="5">#REF!</definedName>
    <definedName name="Casa" localSheetId="6">#REF!</definedName>
    <definedName name="Casa" localSheetId="0">#REF!</definedName>
    <definedName name="Casa">#REF!</definedName>
    <definedName name="CB" localSheetId="5">#N/A</definedName>
    <definedName name="CB" localSheetId="6">#N/A</definedName>
    <definedName name="CB">#N/A</definedName>
    <definedName name="CC" localSheetId="5">'[2]BASE ORIGINAL'!#REF!</definedName>
    <definedName name="CC" localSheetId="6">'[2]BASE ORIGINAL'!#REF!</definedName>
    <definedName name="CC">'[2]BASE ORIGINAL'!#REF!</definedName>
    <definedName name="CD" localSheetId="5">'[2]BASE ORIGINAL'!#REF!</definedName>
    <definedName name="CD" localSheetId="6">'[2]BASE ORIGINAL'!#REF!</definedName>
    <definedName name="CD">'[2]BASE ORIGINAL'!#REF!</definedName>
    <definedName name="CD454JH" localSheetId="0">[1]BASE!$D$201</definedName>
    <definedName name="CD454JH" localSheetId="1">[1]BASE!$D$201</definedName>
    <definedName name="CD454JH">[1]BASE!$D$201</definedName>
    <definedName name="CE" localSheetId="5">'[2]BASE ORIGINAL'!#REF!</definedName>
    <definedName name="CE" localSheetId="6">'[2]BASE ORIGINAL'!#REF!</definedName>
    <definedName name="CE">'[2]BASE ORIGINAL'!#REF!</definedName>
    <definedName name="CEMEG" localSheetId="0">[1]BASE!$D$55</definedName>
    <definedName name="CEMEG" localSheetId="1">[1]BASE!$D$55</definedName>
    <definedName name="CEMEG">[1]BASE!$D$55</definedName>
    <definedName name="CF" localSheetId="5">'[2]BASE ORIGINAL'!#REF!</definedName>
    <definedName name="CF" localSheetId="6">'[2]BASE ORIGINAL'!#REF!</definedName>
    <definedName name="CF">'[2]BASE ORIGINAL'!#REF!</definedName>
    <definedName name="CG" localSheetId="5">#REF!</definedName>
    <definedName name="CG" localSheetId="6">#REF!</definedName>
    <definedName name="CG">#REF!</definedName>
    <definedName name="CH" localSheetId="5">#REF!</definedName>
    <definedName name="CH" localSheetId="6">#REF!</definedName>
    <definedName name="CH">#REF!</definedName>
    <definedName name="CHAPA" localSheetId="0">[1]BASE!$D$249</definedName>
    <definedName name="CHAPA" localSheetId="1">[1]BASE!$D$249</definedName>
    <definedName name="CHAPA">[1]BASE!$D$249</definedName>
    <definedName name="CI">[5]REAJUSTESACTA1PROVI!#REF!</definedName>
    <definedName name="CJ" localSheetId="5">#N/A</definedName>
    <definedName name="CJ" localSheetId="6">#N/A</definedName>
    <definedName name="CJ">#N/A</definedName>
    <definedName name="CK" localSheetId="5">#REF!</definedName>
    <definedName name="CK" localSheetId="6">#REF!</definedName>
    <definedName name="CK">#REF!</definedName>
    <definedName name="CL" localSheetId="5">#N/A</definedName>
    <definedName name="CL" localSheetId="6">#N/A</definedName>
    <definedName name="CL">#N/A</definedName>
    <definedName name="clav">[15]BASE!$D$78</definedName>
    <definedName name="CLAVO" localSheetId="0">[1]BASE!$D$69</definedName>
    <definedName name="CLAVO" localSheetId="1">[1]BASE!$D$69</definedName>
    <definedName name="CLAVO">[1]BASE!$D$69</definedName>
    <definedName name="CM" localSheetId="5">#N/A</definedName>
    <definedName name="CM" localSheetId="6">#N/A</definedName>
    <definedName name="CM">#N/A</definedName>
    <definedName name="CMMO" localSheetId="5">#REF!</definedName>
    <definedName name="CMMO" localSheetId="6">#REF!</definedName>
    <definedName name="CMMO" localSheetId="0">[25]BASE!$D$1747</definedName>
    <definedName name="CMMO">#REF!</definedName>
    <definedName name="CMMOA" localSheetId="5">[46]BASE!$D$455</definedName>
    <definedName name="CMMOA" localSheetId="6">[46]BASE!$D$455</definedName>
    <definedName name="CMMOA" localSheetId="0">[46]BASE!$D$455</definedName>
    <definedName name="CMMOA">[46]BASE!$D$455</definedName>
    <definedName name="CN" localSheetId="5">#N/A</definedName>
    <definedName name="CN" localSheetId="6">#N/A</definedName>
    <definedName name="CN">#N/A</definedName>
    <definedName name="CO" localSheetId="5">#N/A</definedName>
    <definedName name="CO" localSheetId="6">#N/A</definedName>
    <definedName name="CO">#N/A</definedName>
    <definedName name="CO22JH" localSheetId="5">#REF!</definedName>
    <definedName name="CO22JH" localSheetId="6">#REF!</definedName>
    <definedName name="CO22JH">#REF!</definedName>
    <definedName name="CO23JH" localSheetId="5">#REF!</definedName>
    <definedName name="CO23JH" localSheetId="6">#REF!</definedName>
    <definedName name="CO23JH" localSheetId="0">[2]BASE!$D$321</definedName>
    <definedName name="CO23JH">#REF!</definedName>
    <definedName name="CO456JH" localSheetId="0">[1]BASE!$D$203</definedName>
    <definedName name="CO456JH" localSheetId="1">[1]BASE!$D$203</definedName>
    <definedName name="CO456JH">[1]BASE!$D$203</definedName>
    <definedName name="CO458JH" localSheetId="5">[42]BASE!$D$329</definedName>
    <definedName name="CO458JH" localSheetId="6">[42]BASE!$D$329</definedName>
    <definedName name="CO458JH" localSheetId="0">[42]BASE!$D$329</definedName>
    <definedName name="CO458JH">[42]BASE!$D$329</definedName>
    <definedName name="CO45S2" localSheetId="5">#REF!</definedName>
    <definedName name="CO45S2" localSheetId="6">#REF!</definedName>
    <definedName name="CO45S2">#REF!</definedName>
    <definedName name="CO45S3" localSheetId="5">#REF!</definedName>
    <definedName name="CO45S3" localSheetId="6">#REF!</definedName>
    <definedName name="CO45S3">#REF!</definedName>
    <definedName name="CO45S4" localSheetId="5">#REF!</definedName>
    <definedName name="CO45S4" localSheetId="6">#REF!</definedName>
    <definedName name="CO45S4" localSheetId="0">[2]BASE!$D$202</definedName>
    <definedName name="CO45S4">#REF!</definedName>
    <definedName name="CO45S6" localSheetId="5">[7]BASE!$D$203</definedName>
    <definedName name="CO45S6" localSheetId="6">[7]BASE!$D$203</definedName>
    <definedName name="CO45S6" localSheetId="0">[7]BASE!$D$203</definedName>
    <definedName name="CO45S6">[7]BASE!$D$203</definedName>
    <definedName name="CO902JH" localSheetId="5">#REF!</definedName>
    <definedName name="CO902JH" localSheetId="6">#REF!</definedName>
    <definedName name="CO902JH" localSheetId="0">[2]BASE!$D$309</definedName>
    <definedName name="CO902JH">#REF!</definedName>
    <definedName name="CO903JH" localSheetId="5">#REF!</definedName>
    <definedName name="CO903JH" localSheetId="6">#REF!</definedName>
    <definedName name="CO903JH" localSheetId="0">[2]BASE!$D$310</definedName>
    <definedName name="CO903JH">#REF!</definedName>
    <definedName name="CO904JH" localSheetId="0">[1]BASE!$D$196</definedName>
    <definedName name="CO904JH" localSheetId="1">[1]BASE!$D$196</definedName>
    <definedName name="CO904JH">[1]BASE!$D$196</definedName>
    <definedName name="CO906JH" localSheetId="0">[1]BASE!$D$197</definedName>
    <definedName name="CO906JH" localSheetId="1">[1]BASE!$D$197</definedName>
    <definedName name="CO906JH">[1]BASE!$D$197</definedName>
    <definedName name="CO908JH" localSheetId="5">[42]BASE!$D$328</definedName>
    <definedName name="CO908JH" localSheetId="6">[42]BASE!$D$328</definedName>
    <definedName name="CO908JH" localSheetId="0">[42]BASE!$D$328</definedName>
    <definedName name="CO908JH">[42]BASE!$D$328</definedName>
    <definedName name="CO90P4" localSheetId="5">#REF!</definedName>
    <definedName name="CO90P4" localSheetId="6">#REF!</definedName>
    <definedName name="CO90P4" localSheetId="0">#N/A</definedName>
    <definedName name="CO90P4">#REF!</definedName>
    <definedName name="CO90S2" localSheetId="5">#REF!</definedName>
    <definedName name="CO90S2" localSheetId="6">#REF!</definedName>
    <definedName name="CO90S2">#REF!</definedName>
    <definedName name="CO90S3" localSheetId="5">#REF!</definedName>
    <definedName name="CO90S3" localSheetId="6">#REF!</definedName>
    <definedName name="CO90S3">#REF!</definedName>
    <definedName name="CO90S4" localSheetId="0">[1]BASE!$D$130</definedName>
    <definedName name="CO90S4" localSheetId="1">[1]BASE!$D$130</definedName>
    <definedName name="CO90S4">[1]BASE!$D$130</definedName>
    <definedName name="CO90S6" localSheetId="5">[7]BASE!$D$198</definedName>
    <definedName name="CO90S6" localSheetId="6">[7]BASE!$D$198</definedName>
    <definedName name="CO90S6" localSheetId="0">[7]BASE!$D$198</definedName>
    <definedName name="CO90S6">[7]BASE!$D$198</definedName>
    <definedName name="CO910JH" localSheetId="5">[7]BASE!$D$329</definedName>
    <definedName name="CO910JH" localSheetId="6">[7]BASE!$D$329</definedName>
    <definedName name="CO910JH" localSheetId="0">[7]BASE!$D$329</definedName>
    <definedName name="CO910JH">[7]BASE!$D$329</definedName>
    <definedName name="Cod" localSheetId="5">#N/A</definedName>
    <definedName name="Cod" localSheetId="6">#N/A</definedName>
    <definedName name="Cod" localSheetId="0">#N/A</definedName>
    <definedName name="Cod">#N/A</definedName>
    <definedName name="cod_programa" localSheetId="5">'[2]base de datos'!$M$3:$M$9</definedName>
    <definedName name="cod_programa" localSheetId="6">'[2]base de datos'!$M$3:$M$9</definedName>
    <definedName name="cod_programa" localSheetId="0">'[2]base de datos'!$M$3:$M$9</definedName>
    <definedName name="cod_programa">'[2]base de datos'!$M$3:$M$9</definedName>
    <definedName name="cod_proyecto" localSheetId="5">'[2]base de datos'!$O$3:$O$18</definedName>
    <definedName name="cod_proyecto" localSheetId="6">'[2]base de datos'!$O$3:$O$18</definedName>
    <definedName name="cod_proyecto" localSheetId="0">'[2]base de datos'!$O$3:$O$18</definedName>
    <definedName name="cod_proyecto">'[2]base de datos'!$O$3:$O$18</definedName>
    <definedName name="CODOS" localSheetId="5">#REF!</definedName>
    <definedName name="CODOS" localSheetId="6">#REF!</definedName>
    <definedName name="CODOS" localSheetId="0">#REF!</definedName>
    <definedName name="CODOS">#REF!</definedName>
    <definedName name="ColTap" localSheetId="5">#REF!</definedName>
    <definedName name="ColTap" localSheetId="6">#REF!</definedName>
    <definedName name="ColTap" localSheetId="0">#REF!</definedName>
    <definedName name="ColTap">#REF!</definedName>
    <definedName name="COMN1" localSheetId="0">[47]BASE!#REF!</definedName>
    <definedName name="COMN1">[47]BASE!#REF!</definedName>
    <definedName name="COMPR" localSheetId="5">#REF!</definedName>
    <definedName name="COMPR" localSheetId="6">#REF!</definedName>
    <definedName name="COMPR" localSheetId="0">[25]BASE!$D$1746</definedName>
    <definedName name="COMPR">#REF!</definedName>
    <definedName name="CONM1" localSheetId="0">[1]BASE!$D$309</definedName>
    <definedName name="CONM1" localSheetId="1">[1]BASE!$D$309</definedName>
    <definedName name="CONM1">[1]BASE!$D$309</definedName>
    <definedName name="CONM2" localSheetId="0">[1]BASE!$D$310</definedName>
    <definedName name="CONM2" localSheetId="1">[1]BASE!$D$310</definedName>
    <definedName name="CONM2">[1]BASE!$D$310</definedName>
    <definedName name="CONMI" localSheetId="0">[47]BASE!#REF!</definedName>
    <definedName name="CONMI">[47]BASE!#REF!</definedName>
    <definedName name="CONMX" localSheetId="5">[7]BASE!$D$505</definedName>
    <definedName name="CONMX" localSheetId="6">[7]BASE!$D$505</definedName>
    <definedName name="CONMX" localSheetId="0">[7]BASE!$D$505</definedName>
    <definedName name="CONMX">[7]BASE!$D$505</definedName>
    <definedName name="copia">#REF!</definedName>
    <definedName name="CORTA" localSheetId="0">[1]BASE!$D$319</definedName>
    <definedName name="CORTA" localSheetId="1">[1]BASE!$D$319</definedName>
    <definedName name="CORTA">[1]BASE!$D$319</definedName>
    <definedName name="CORTACT" localSheetId="5">[29]BASE!$D$124</definedName>
    <definedName name="CORTACT" localSheetId="6">[29]BASE!$D$124</definedName>
    <definedName name="CORTACT" localSheetId="0">[25]BASE!$D$1779</definedName>
    <definedName name="CORTACT">[29]BASE!$D$124</definedName>
    <definedName name="cota" localSheetId="0">'[48]Base de Diseño'!$A$1:$D$290</definedName>
    <definedName name="cota">'[48]Base de Diseño'!$A$1:$D$290</definedName>
    <definedName name="COTAS" localSheetId="0">[49]Hoja3!$A$5:$B$154</definedName>
    <definedName name="COTAS">[49]Hoja3!$A$5:$B$154</definedName>
    <definedName name="COYLL" localSheetId="5">'[8]BASE ORIGINAL'!#REF!</definedName>
    <definedName name="COYLL" localSheetId="6">'[8]BASE ORIGINAL'!#REF!</definedName>
    <definedName name="COYLL" localSheetId="0">'[9]BASE ORIGINAL'!#REF!</definedName>
    <definedName name="COYLL">'[8]BASE ORIGINAL'!#REF!</definedName>
    <definedName name="CP" localSheetId="5">#N/A</definedName>
    <definedName name="CP" localSheetId="6">#N/A</definedName>
    <definedName name="CP">#N/A</definedName>
    <definedName name="CP1045PN10" localSheetId="5">#REF!</definedName>
    <definedName name="CP1045PN10" localSheetId="6">#REF!</definedName>
    <definedName name="CP1045PN10">#REF!</definedName>
    <definedName name="CP1090PN10" localSheetId="5">#REF!</definedName>
    <definedName name="CP1090PN10" localSheetId="6">#REF!</definedName>
    <definedName name="CP1090PN10">#REF!</definedName>
    <definedName name="CP1245PN10" localSheetId="5">#REF!</definedName>
    <definedName name="CP1245PN10" localSheetId="6">#REF!</definedName>
    <definedName name="CP1245PN10">#REF!</definedName>
    <definedName name="CP452L" localSheetId="5">#REF!</definedName>
    <definedName name="CP452L" localSheetId="6">#REF!</definedName>
    <definedName name="CP452L" localSheetId="0">[25]BASE!$D$1708</definedName>
    <definedName name="CP452L">#REF!</definedName>
    <definedName name="CP453L" localSheetId="5">#REF!</definedName>
    <definedName name="CP453L" localSheetId="6">#REF!</definedName>
    <definedName name="CP453L" localSheetId="0">[25]BASE!$D$1709</definedName>
    <definedName name="CP453L">#REF!</definedName>
    <definedName name="CP454L" localSheetId="5">[33]BASE!$D$239</definedName>
    <definedName name="CP454L" localSheetId="6">[33]BASE!$D$239</definedName>
    <definedName name="CP454L" localSheetId="0">[33]BASE!$D$239</definedName>
    <definedName name="CP454L">[33]BASE!$D$239</definedName>
    <definedName name="CP902L" localSheetId="5">#REF!</definedName>
    <definedName name="CP902L" localSheetId="6">#REF!</definedName>
    <definedName name="CP902L" localSheetId="0">[25]BASE!$D$1710</definedName>
    <definedName name="CP902L">#REF!</definedName>
    <definedName name="CP903L" localSheetId="5">#REF!</definedName>
    <definedName name="CP903L" localSheetId="6">#REF!</definedName>
    <definedName name="CP903L" localSheetId="0">[25]BASE!$D$1711</definedName>
    <definedName name="CP903L">#REF!</definedName>
    <definedName name="CP904L" localSheetId="5">[7]BASE!$D$421</definedName>
    <definedName name="CP904L" localSheetId="6">[7]BASE!$D$421</definedName>
    <definedName name="CP904L" localSheetId="0">[7]BASE!$D$421</definedName>
    <definedName name="CP904L">[7]BASE!$D$421</definedName>
    <definedName name="CQ" localSheetId="5">#N/A</definedName>
    <definedName name="CQ" localSheetId="6">#N/A</definedName>
    <definedName name="CQ">#N/A</definedName>
    <definedName name="CR" localSheetId="5">#N/A</definedName>
    <definedName name="CR" localSheetId="6">#N/A</definedName>
    <definedName name="CR">#N/A</definedName>
    <definedName name="CR22JH" localSheetId="5">#REF!</definedName>
    <definedName name="CR22JH" localSheetId="6">#REF!</definedName>
    <definedName name="CR22JH" localSheetId="0">[25]BASE!$D$1588</definedName>
    <definedName name="CR22JH">#REF!</definedName>
    <definedName name="CR42JH" localSheetId="5">#REF!</definedName>
    <definedName name="CR42JH" localSheetId="6">#REF!</definedName>
    <definedName name="CR42JH" localSheetId="0">[2]BASE!$D$289</definedName>
    <definedName name="CR42JH">#REF!</definedName>
    <definedName name="CR44JH" localSheetId="5">#REF!</definedName>
    <definedName name="CR44JH" localSheetId="6">#REF!</definedName>
    <definedName name="CR44JH" localSheetId="0">[2]BASE!$D$288</definedName>
    <definedName name="CR44JH">#REF!</definedName>
    <definedName name="CR66JH" localSheetId="0">[1]BASE!$D$178</definedName>
    <definedName name="CR66JH" localSheetId="1">[1]BASE!$D$178</definedName>
    <definedName name="CR66JH">[1]BASE!$D$178</definedName>
    <definedName name="CRAS" localSheetId="5">#REF!</definedName>
    <definedName name="CRAS" localSheetId="6">#REF!</definedName>
    <definedName name="CRAS" localSheetId="0">[16]BASE!$D$72</definedName>
    <definedName name="CRAS">#REF!</definedName>
    <definedName name="CS" localSheetId="5">#N/A</definedName>
    <definedName name="CS" localSheetId="6">#N/A</definedName>
    <definedName name="CS">#N/A</definedName>
    <definedName name="CSIKA" localSheetId="5">[7]BASE!$D$368</definedName>
    <definedName name="CSIKA" localSheetId="6">[7]BASE!$D$368</definedName>
    <definedName name="CSIKA" localSheetId="0">[7]BASE!$D$368</definedName>
    <definedName name="CSIKA">[7]BASE!$D$368</definedName>
    <definedName name="CT" localSheetId="5">#N/A</definedName>
    <definedName name="CT" localSheetId="6">#N/A</definedName>
    <definedName name="CT">#N/A</definedName>
    <definedName name="CT070KG" localSheetId="5">#REF!</definedName>
    <definedName name="CT070KG" localSheetId="6">#REF!</definedName>
    <definedName name="CT070KG">#REF!</definedName>
    <definedName name="CT080KG" localSheetId="5">#REF!</definedName>
    <definedName name="CT080KG" localSheetId="6">#REF!</definedName>
    <definedName name="CT080KG">#REF!</definedName>
    <definedName name="CT110K" localSheetId="0">[45]PRELIM!$B$311</definedName>
    <definedName name="CT110K">[45]PRELIM!$B$311</definedName>
    <definedName name="CT110KG" localSheetId="0">[1]BASE!$D$36</definedName>
    <definedName name="CT110KG" localSheetId="1">[1]BASE!$D$36</definedName>
    <definedName name="CT110KG">[1]BASE!$D$36</definedName>
    <definedName name="CT140K" localSheetId="0">[45]PRELIM!$B$329</definedName>
    <definedName name="CT140K">[45]PRELIM!$B$329</definedName>
    <definedName name="CT140KG" localSheetId="0">[1]BASE!$D$35</definedName>
    <definedName name="CT140KG" localSheetId="1">[1]BASE!$D$35</definedName>
    <definedName name="CT140KG">[1]BASE!$D$35</definedName>
    <definedName name="CT170KG" localSheetId="5">#REF!</definedName>
    <definedName name="CT170KG" localSheetId="6">#REF!</definedName>
    <definedName name="CT170KG" localSheetId="0">'[28]8.2 BASE'!$E$37</definedName>
    <definedName name="CT170KG">#REF!</definedName>
    <definedName name="CT180K" localSheetId="0">[45]PRELIM!$B$346</definedName>
    <definedName name="CT180K">[45]PRELIM!$B$346</definedName>
    <definedName name="CT180KG" localSheetId="5">#REF!</definedName>
    <definedName name="CT180KG" localSheetId="6">#REF!</definedName>
    <definedName name="CT180KG" localSheetId="0">[16]BASE!$D$36</definedName>
    <definedName name="CT180KG">#REF!</definedName>
    <definedName name="CT210K" localSheetId="0">[45]PRELIM!$B$363</definedName>
    <definedName name="CT210K">[45]PRELIM!$B$363</definedName>
    <definedName name="CT210KG" localSheetId="0">[1]BASE!$D$33</definedName>
    <definedName name="CT210KG" localSheetId="1">[1]BASE!$D$33</definedName>
    <definedName name="CT210KG">[1]BASE!$D$33</definedName>
    <definedName name="CT245K" localSheetId="0">[45]PRELIM!$B$380</definedName>
    <definedName name="CT245K">[45]PRELIM!$B$380</definedName>
    <definedName name="CT245KG" localSheetId="0">[1]BASE!$D$32</definedName>
    <definedName name="CT245KG" localSheetId="1">[1]BASE!$D$32</definedName>
    <definedName name="CT245KG">[1]BASE!$D$32</definedName>
    <definedName name="CT280KG" localSheetId="5">[29]BASE!$D$38</definedName>
    <definedName name="CT280KG" localSheetId="6">[29]BASE!$D$38</definedName>
    <definedName name="CT280KG" localSheetId="0">[25]BASE!$D$36</definedName>
    <definedName name="CT280KG">[29]BASE!$D$38</definedName>
    <definedName name="CTC140KG" localSheetId="0">[1]BASE!$D$37</definedName>
    <definedName name="CTC140KG" localSheetId="1">[1]BASE!$D$37</definedName>
    <definedName name="CTC140KG">[1]BASE!$D$37</definedName>
    <definedName name="CU" localSheetId="5">#N/A</definedName>
    <definedName name="CU" localSheetId="6">#N/A</definedName>
    <definedName name="CU">#N/A</definedName>
    <definedName name="cUCA" localSheetId="5">#N/A</definedName>
    <definedName name="cUCA" localSheetId="6">#N/A</definedName>
    <definedName name="cUCA" localSheetId="0">#N/A</definedName>
    <definedName name="cUCA">#N/A</definedName>
    <definedName name="CV" localSheetId="5">'[2]BASE ORIGINAL'!#REF!</definedName>
    <definedName name="CV" localSheetId="6">'[2]BASE ORIGINAL'!#REF!</definedName>
    <definedName name="CV">'[2]BASE ORIGINAL'!#REF!</definedName>
    <definedName name="CVa" localSheetId="5">#REF!</definedName>
    <definedName name="CVa" localSheetId="6">#REF!</definedName>
    <definedName name="CVa" localSheetId="0">#REF!</definedName>
    <definedName name="CVa">#REF!</definedName>
    <definedName name="CW" localSheetId="5">'[2]BASE ORIGINAL'!#REF!</definedName>
    <definedName name="CW" localSheetId="6">'[2]BASE ORIGINAL'!#REF!</definedName>
    <definedName name="CW">'[2]BASE ORIGINAL'!#REF!</definedName>
    <definedName name="Cwvu.ComparEneMar9697." localSheetId="0" hidden="1">'[50]Seguimiento CSF'!#REF!,'[50]Seguimiento CSF'!$A$30:$IV$34,'[50]Seguimiento CSF'!$A$104:$IV$104,'[50]Seguimiento CSF'!#REF!,'[50]Seguimiento CSF'!#REF!,'[50]Seguimiento CSF'!$A$124:$IV$125</definedName>
    <definedName name="Cwvu.ComparEneMar9697." hidden="1">'[50]Seguimiento CSF'!#REF!,'[50]Seguimiento CSF'!$A$30:$IV$34,'[50]Seguimiento CSF'!$A$104:$IV$104,'[50]Seguimiento CSF'!#REF!,'[50]Seguimiento CSF'!#REF!,'[50]Seguimiento CSF'!$A$124:$IV$125</definedName>
    <definedName name="Cwvu.EneFeb." localSheetId="0" hidden="1">'[50]Seguimiento CSF'!#REF!,'[50]Seguimiento CSF'!#REF!</definedName>
    <definedName name="Cwvu.EneFeb." hidden="1">'[50]Seguimiento CSF'!#REF!,'[50]Seguimiento CSF'!#REF!</definedName>
    <definedName name="Cwvu.EneMar." localSheetId="0" hidden="1">'[50]Seguimiento CSF'!#REF!,'[50]Seguimiento CSF'!$A$67:$IV$67,'[50]Seguimiento CSF'!#REF!,'[50]Seguimiento CSF'!#REF!</definedName>
    <definedName name="Cwvu.EneMar." hidden="1">'[50]Seguimiento CSF'!#REF!,'[50]Seguimiento CSF'!$A$67:$IV$67,'[50]Seguimiento CSF'!#REF!,'[50]Seguimiento CSF'!#REF!</definedName>
    <definedName name="Cwvu.Formato._.Corto." localSheetId="0" hidden="1">'[50]Seguimiento CSF'!$A$11:$IV$12,'[50]Seguimiento CSF'!#REF!,'[50]Seguimiento CSF'!$A$45:$IV$46,'[50]Seguimiento CSF'!$A$48:$IV$57,'[50]Seguimiento CSF'!$A$61:$IV$63,'[50]Seguimiento CSF'!$A$65:$IV$66,'[50]Seguimiento CSF'!$A$72:$IV$82,'[50]Seguimiento CSF'!$A$89:$IV$92,'[50]Seguimiento CSF'!$A$114:$IV$116,'[50]Seguimiento CSF'!$A$118:$IV$122,'[50]Seguimiento CSF'!$A$129:$IV$132,'[50]Seguimiento CSF'!$A$134:$IV$135</definedName>
    <definedName name="Cwvu.Formato._.Corto." hidden="1">'[50]Seguimiento CSF'!$A$11:$IV$12,'[50]Seguimiento CSF'!#REF!,'[50]Seguimiento CSF'!$A$45:$IV$46,'[50]Seguimiento CSF'!$A$48:$IV$57,'[50]Seguimiento CSF'!$A$61:$IV$63,'[50]Seguimiento CSF'!$A$65:$IV$66,'[50]Seguimiento CSF'!$A$72:$IV$82,'[50]Seguimiento CSF'!$A$89:$IV$92,'[50]Seguimiento CSF'!$A$114:$IV$116,'[50]Seguimiento CSF'!$A$118:$IV$122,'[50]Seguimiento CSF'!$A$129:$IV$132,'[50]Seguimiento CSF'!$A$134:$IV$135</definedName>
    <definedName name="Cwvu.Formato._.Total." localSheetId="0" hidden="1">'[50]Seguimiento CSF'!#REF!,'[50]Seguimiento CSF'!#REF!,'[50]Seguimiento CSF'!#REF!</definedName>
    <definedName name="Cwvu.Formato._.Total." hidden="1">'[50]Seguimiento CSF'!#REF!,'[50]Seguimiento CSF'!#REF!,'[50]Seguimiento CSF'!#REF!</definedName>
    <definedName name="CX" localSheetId="5">'[2]BASE ORIGINAL'!#REF!</definedName>
    <definedName name="CX" localSheetId="6">'[2]BASE ORIGINAL'!#REF!</definedName>
    <definedName name="CX">'[2]BASE ORIGINAL'!#REF!</definedName>
    <definedName name="CY" localSheetId="5">'[2]BASE ORIGINAL'!#REF!</definedName>
    <definedName name="CY" localSheetId="6">'[2]BASE ORIGINAL'!#REF!</definedName>
    <definedName name="CY">'[2]BASE ORIGINAL'!#REF!</definedName>
    <definedName name="CYLL2" localSheetId="0">[1]BASE!$D$220</definedName>
    <definedName name="CYLL2" localSheetId="1">[1]BASE!$D$220</definedName>
    <definedName name="CYLL2">[1]BASE!$D$220</definedName>
    <definedName name="CYLL3" localSheetId="5">#REF!</definedName>
    <definedName name="CYLL3" localSheetId="6">#REF!</definedName>
    <definedName name="CYLL3" localSheetId="0">[2]BASE!$D$344</definedName>
    <definedName name="CYLL3">#REF!</definedName>
    <definedName name="CYLL4" localSheetId="5">#REF!</definedName>
    <definedName name="CYLL4" localSheetId="6">#REF!</definedName>
    <definedName name="CYLL4" localSheetId="0">[2]BASE!$D$345</definedName>
    <definedName name="CYLL4">#REF!</definedName>
    <definedName name="CYLL6" localSheetId="5">#REF!</definedName>
    <definedName name="CYLL6" localSheetId="6">#REF!</definedName>
    <definedName name="CYLL6" localSheetId="0">[2]BASE!$D$346</definedName>
    <definedName name="CYLL6">#REF!</definedName>
    <definedName name="CZ" localSheetId="5">#REF!</definedName>
    <definedName name="CZ" localSheetId="6">#REF!</definedName>
    <definedName name="CZ">#REF!</definedName>
    <definedName name="d" localSheetId="5">#REF!</definedName>
    <definedName name="d" localSheetId="6">#REF!</definedName>
    <definedName name="d" localSheetId="0">#REF!</definedName>
    <definedName name="d">#REF!</definedName>
    <definedName name="DA" localSheetId="5">#N/A</definedName>
    <definedName name="DA" localSheetId="6">#N/A</definedName>
    <definedName name="DA">#N/A</definedName>
    <definedName name="DATOS" localSheetId="5">#N/A</definedName>
    <definedName name="DATOS" localSheetId="6">#N/A</definedName>
    <definedName name="DATOS" localSheetId="0">#N/A</definedName>
    <definedName name="DATOS">#N/A</definedName>
    <definedName name="Datos_G1" localSheetId="5">#REF!</definedName>
    <definedName name="Datos_G1" localSheetId="6">#REF!</definedName>
    <definedName name="Datos_G1" localSheetId="0">#REF!</definedName>
    <definedName name="Datos_G1">#REF!</definedName>
    <definedName name="Datos_G2" localSheetId="5">#REF!</definedName>
    <definedName name="Datos_G2" localSheetId="6">#REF!</definedName>
    <definedName name="Datos_G2" localSheetId="0">#REF!</definedName>
    <definedName name="Datos_G2">#REF!</definedName>
    <definedName name="Datos_SW_G1" localSheetId="5">#REF!</definedName>
    <definedName name="Datos_SW_G1" localSheetId="6">#REF!</definedName>
    <definedName name="Datos_SW_G1" localSheetId="0">#REF!</definedName>
    <definedName name="Datos_SW_G1">#REF!</definedName>
    <definedName name="Datos_SW_G2" localSheetId="5">#REF!</definedName>
    <definedName name="Datos_SW_G2" localSheetId="6">#REF!</definedName>
    <definedName name="Datos_SW_G2" localSheetId="0">#REF!</definedName>
    <definedName name="Datos_SW_G2">#REF!</definedName>
    <definedName name="datos1" localSheetId="0">'[51]Base de Diseño'!$A$1:$D$204</definedName>
    <definedName name="datos1">'[51]Base de Diseño'!$A$1:$D$204</definedName>
    <definedName name="DB" localSheetId="5">#N/A</definedName>
    <definedName name="DB" localSheetId="6">#N/A</definedName>
    <definedName name="DB">#N/A</definedName>
    <definedName name="DC" localSheetId="5">#N/A</definedName>
    <definedName name="DC" localSheetId="6">#N/A</definedName>
    <definedName name="DC">#N/A</definedName>
    <definedName name="DD" localSheetId="5">'[2]BASE ORIGINAL'!#REF!</definedName>
    <definedName name="DD" localSheetId="6">'[2]BASE ORIGINAL'!#REF!</definedName>
    <definedName name="DD">'[2]BASE ORIGINAL'!#REF!</definedName>
    <definedName name="DE" localSheetId="5">#REF!</definedName>
    <definedName name="DE" localSheetId="6">#REF!</definedName>
    <definedName name="DE" localSheetId="0">[52]BASE!$D$8</definedName>
    <definedName name="DE">#REF!</definedName>
    <definedName name="DEDO"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si" localSheetId="5">#REF!</definedName>
    <definedName name="desi" localSheetId="6">#REF!</definedName>
    <definedName name="desi" localSheetId="0">#REF!</definedName>
    <definedName name="desi">#REF!</definedName>
    <definedName name="design">'[53]Design (3)'!$A$12:$CM$71</definedName>
    <definedName name="design2">[53]Design!$A$24:$CM$66</definedName>
    <definedName name="DF" localSheetId="5">'[2]BASE ORIGINAL'!#REF!</definedName>
    <definedName name="DF" localSheetId="6">'[2]BASE ORIGINAL'!#REF!</definedName>
    <definedName name="DF">'[2]BASE ORIGINAL'!#REF!</definedName>
    <definedName name="DG" localSheetId="5">'[2]BASE ORIGINAL'!#REF!</definedName>
    <definedName name="DG" localSheetId="6">'[2]BASE ORIGINAL'!#REF!</definedName>
    <definedName name="DG">'[2]BASE ORIGINAL'!#REF!</definedName>
    <definedName name="dghfs" localSheetId="0">#REF!</definedName>
    <definedName name="dghfs">#REF!</definedName>
    <definedName name="DH" localSheetId="5">'[2]BASE ORIGINAL'!#REF!</definedName>
    <definedName name="DH" localSheetId="6">'[2]BASE ORIGINAL'!#REF!</definedName>
    <definedName name="DH">'[2]BASE ORIGINAL'!#REF!</definedName>
    <definedName name="DI" localSheetId="5">#REF!</definedName>
    <definedName name="DI" localSheetId="6">#REF!</definedName>
    <definedName name="DI">#REF!</definedName>
    <definedName name="DIA" localSheetId="5">'[2]base de datos'!$V$3:$V$33</definedName>
    <definedName name="DIA" localSheetId="6">'[2]base de datos'!$V$3:$V$33</definedName>
    <definedName name="dia" localSheetId="0">[35]datos!$F$2:$F$32</definedName>
    <definedName name="DIA">'[2]base de datos'!$V$3:$V$33</definedName>
    <definedName name="DIAME" localSheetId="5">#REF!</definedName>
    <definedName name="DIAME" localSheetId="6">#REF!</definedName>
    <definedName name="DIAME" localSheetId="0">#REF!</definedName>
    <definedName name="DIAME">#REF!</definedName>
    <definedName name="diametros" localSheetId="5">#REF!</definedName>
    <definedName name="diametros" localSheetId="6">#REF!</definedName>
    <definedName name="diametros" localSheetId="0">#REF!</definedName>
    <definedName name="diametros">#REF!</definedName>
    <definedName name="DiametrosCodos">'[54]L codos'!$B$2:$V$2</definedName>
    <definedName name="DIANA" localSheetId="5">[7]BASE!#REF!</definedName>
    <definedName name="DIANA" localSheetId="6">[7]BASE!#REF!</definedName>
    <definedName name="DIANA" localSheetId="0">[7]BASE!#REF!</definedName>
    <definedName name="DIANA">[7]BASE!#REF!</definedName>
    <definedName name="DJ" localSheetId="5">#REF!</definedName>
    <definedName name="DJ" localSheetId="6">#REF!</definedName>
    <definedName name="DJ">#REF!</definedName>
    <definedName name="DK">[5]REAJUSTESACTA1PROVI!#REF!</definedName>
    <definedName name="DL" localSheetId="5">#N/A</definedName>
    <definedName name="DL" localSheetId="6">#N/A</definedName>
    <definedName name="DL">#N/A</definedName>
    <definedName name="DM" localSheetId="5">#REF!</definedName>
    <definedName name="DM" localSheetId="6">#REF!</definedName>
    <definedName name="DM">#REF!</definedName>
    <definedName name="DN" localSheetId="5">#N/A</definedName>
    <definedName name="DN" localSheetId="6">#N/A</definedName>
    <definedName name="DN">#N/A</definedName>
    <definedName name="DO" localSheetId="5">#N/A</definedName>
    <definedName name="DO" localSheetId="6">#N/A</definedName>
    <definedName name="DO">#N/A</definedName>
    <definedName name="DP" localSheetId="5">#N/A</definedName>
    <definedName name="DP" localSheetId="6">#N/A</definedName>
    <definedName name="DP">#N/A</definedName>
    <definedName name="DQ" localSheetId="5">#N/A</definedName>
    <definedName name="DQ" localSheetId="6">#N/A</definedName>
    <definedName name="DQ">#N/A</definedName>
    <definedName name="DR" localSheetId="5">#N/A</definedName>
    <definedName name="DR" localSheetId="6">#N/A</definedName>
    <definedName name="DR">#N/A</definedName>
    <definedName name="DS" localSheetId="5">#N/A</definedName>
    <definedName name="DS" localSheetId="6">#N/A</definedName>
    <definedName name="DS">#N/A</definedName>
    <definedName name="DT" localSheetId="5">#N/A</definedName>
    <definedName name="DT" localSheetId="6">#N/A</definedName>
    <definedName name="dt" localSheetId="0">[35]datos!$K$2:$K$10</definedName>
    <definedName name="DT">#N/A</definedName>
    <definedName name="DU" localSheetId="5">#N/A</definedName>
    <definedName name="DU" localSheetId="6">#N/A</definedName>
    <definedName name="DU">#N/A</definedName>
    <definedName name="DUCTO" localSheetId="0">[55]CONDUIT!#REF!</definedName>
    <definedName name="DUCTO">[56]CONDUIT!#REF!</definedName>
    <definedName name="DV" localSheetId="5">#N/A</definedName>
    <definedName name="DV" localSheetId="6">#N/A</definedName>
    <definedName name="DV">#N/A</definedName>
    <definedName name="DW" localSheetId="5">#N/A</definedName>
    <definedName name="DW" localSheetId="6">#N/A</definedName>
    <definedName name="DW">#N/A</definedName>
    <definedName name="DX" localSheetId="5">'[2]BASE ORIGINAL'!#REF!</definedName>
    <definedName name="DX" localSheetId="6">'[2]BASE ORIGINAL'!#REF!</definedName>
    <definedName name="DX">'[2]BASE ORIGINAL'!#REF!</definedName>
    <definedName name="DY" localSheetId="5">'[2]BASE ORIGINAL'!#REF!</definedName>
    <definedName name="DY" localSheetId="6">'[2]BASE ORIGINAL'!#REF!</definedName>
    <definedName name="DY">'[2]BASE ORIGINAL'!#REF!</definedName>
    <definedName name="DZ" localSheetId="5">'[2]BASE ORIGINAL'!#REF!</definedName>
    <definedName name="DZ" localSheetId="6">'[2]BASE ORIGINAL'!#REF!</definedName>
    <definedName name="DZ">'[2]BASE ORIGINAL'!#REF!</definedName>
    <definedName name="E">#REF!</definedName>
    <definedName name="EA" localSheetId="5">'[2]BASE ORIGINAL'!#REF!</definedName>
    <definedName name="EA" localSheetId="6">'[2]BASE ORIGINAL'!#REF!</definedName>
    <definedName name="EA">'[2]BASE ORIGINAL'!#REF!</definedName>
    <definedName name="EB" localSheetId="5">'[2]BASE ORIGINAL'!#REF!</definedName>
    <definedName name="EB" localSheetId="6">'[2]BASE ORIGINAL'!#REF!</definedName>
    <definedName name="EB">'[2]BASE ORIGINAL'!#REF!</definedName>
    <definedName name="EC" localSheetId="5">#REF!</definedName>
    <definedName name="EC" localSheetId="6">#REF!</definedName>
    <definedName name="EC">#REF!</definedName>
    <definedName name="ED" localSheetId="5">#REF!</definedName>
    <definedName name="ED" localSheetId="6">#REF!</definedName>
    <definedName name="ED">#REF!</definedName>
    <definedName name="ee" localSheetId="0">#REF!</definedName>
    <definedName name="ee">#REF!</definedName>
    <definedName name="eeee" localSheetId="10">[2]BASE!$D$13</definedName>
    <definedName name="eeee">[2]BASE!$D$13</definedName>
    <definedName name="EF">[5]REAJUSTESACTA1PROVI!#REF!</definedName>
    <definedName name="EG" localSheetId="5">#N/A</definedName>
    <definedName name="EG" localSheetId="6">#N/A</definedName>
    <definedName name="EG">#N/A</definedName>
    <definedName name="EH" localSheetId="5">#REF!</definedName>
    <definedName name="EH" localSheetId="6">#REF!</definedName>
    <definedName name="EH">#REF!</definedName>
    <definedName name="EI" localSheetId="5">#N/A</definedName>
    <definedName name="EI" localSheetId="6">#N/A</definedName>
    <definedName name="EI">#N/A</definedName>
    <definedName name="EJ" localSheetId="5">#N/A</definedName>
    <definedName name="EJ" localSheetId="6">#N/A</definedName>
    <definedName name="EJ">#N/A</definedName>
    <definedName name="EK" localSheetId="5">#N/A</definedName>
    <definedName name="EK" localSheetId="6">#N/A</definedName>
    <definedName name="EK">#N/A</definedName>
    <definedName name="EL" localSheetId="5">#N/A</definedName>
    <definedName name="EL" localSheetId="6">#N/A</definedName>
    <definedName name="EL">#N/A</definedName>
    <definedName name="electricosAPUS" localSheetId="5">[57]BASE!$C$3</definedName>
    <definedName name="electricosAPUS" localSheetId="6">[57]BASE!$C$3</definedName>
    <definedName name="electricosAPUS">[57]BASE!$C$3</definedName>
    <definedName name="EM" localSheetId="5">#N/A</definedName>
    <definedName name="EM" localSheetId="6">#N/A</definedName>
    <definedName name="EM">#N/A</definedName>
    <definedName name="EN" localSheetId="5">#N/A</definedName>
    <definedName name="EN" localSheetId="6">#N/A</definedName>
    <definedName name="EN">#N/A</definedName>
    <definedName name="Ene" localSheetId="5">[2]ENE!$A$12:$H$34</definedName>
    <definedName name="Ene" localSheetId="6">[2]ENE!$A$12:$H$34</definedName>
    <definedName name="Ene" localSheetId="0">[2]ENE!$A$12:$H$34</definedName>
    <definedName name="Ene">[2]ENE!$A$12:$H$34</definedName>
    <definedName name="Ene_C" localSheetId="5">[2]ENE!$A$35:$H$52</definedName>
    <definedName name="Ene_C" localSheetId="6">[2]ENE!$A$35:$H$52</definedName>
    <definedName name="Ene_C" localSheetId="0">[2]ENE!$A$35:$H$52</definedName>
    <definedName name="Ene_C">[2]ENE!$A$35:$H$52</definedName>
    <definedName name="EneFeb">'[58]Ene-Feb'!$A$12:$H$34</definedName>
    <definedName name="EO" localSheetId="5">#N/A</definedName>
    <definedName name="EO" localSheetId="6">#N/A</definedName>
    <definedName name="EO">#N/A</definedName>
    <definedName name="EP" localSheetId="5">#N/A</definedName>
    <definedName name="EP" localSheetId="6">#N/A</definedName>
    <definedName name="EP">#N/A</definedName>
    <definedName name="EQ" localSheetId="5">#N/A</definedName>
    <definedName name="EQ" localSheetId="6">#N/A</definedName>
    <definedName name="EQ">#N/A</definedName>
    <definedName name="EQPL" localSheetId="5">'[27]8.2 BASE'!$E$1731</definedName>
    <definedName name="EQPL" localSheetId="6">'[27]8.2 BASE'!$E$1731</definedName>
    <definedName name="EQPL" localSheetId="0">'[28]8.2 BASE'!$E$1731</definedName>
    <definedName name="EQPL">'[27]8.2 BASE'!$E$1731</definedName>
    <definedName name="ER" localSheetId="5">#N/A</definedName>
    <definedName name="ER" localSheetId="6">#N/A</definedName>
    <definedName name="ER">#N/A</definedName>
    <definedName name="ES" localSheetId="5">'[2]BASE ORIGINAL'!#REF!</definedName>
    <definedName name="ES" localSheetId="6">'[2]BASE ORIGINAL'!#REF!</definedName>
    <definedName name="ES">'[2]BASE ORIGINAL'!#REF!</definedName>
    <definedName name="ESTAC" localSheetId="0">[1]BASE!$D$242</definedName>
    <definedName name="ESTAC" localSheetId="1">[1]BASE!$D$242</definedName>
    <definedName name="ESTAC">[1]BASE!$D$242</definedName>
    <definedName name="ESTADO_ACUEDUCTO">#REF!</definedName>
    <definedName name="ESTADO_ALCANTARILLADO">#REF!</definedName>
    <definedName name="estadotramite" localSheetId="5">'[2]base de datos'!$U$3:$U$5</definedName>
    <definedName name="estadotramite" localSheetId="6">'[2]base de datos'!$U$3:$U$5</definedName>
    <definedName name="estadotramite" localSheetId="0">'[2]base de datos'!$U$3:$U$5</definedName>
    <definedName name="estadotramite">'[2]base de datos'!$U$3:$U$5</definedName>
    <definedName name="ESTOP" localSheetId="5">#REF!</definedName>
    <definedName name="ESTOP" localSheetId="6">#REF!</definedName>
    <definedName name="ESTOP" localSheetId="0">[25]BASE!$D$1700</definedName>
    <definedName name="ESTOP">#REF!</definedName>
    <definedName name="ET" localSheetId="5">'[2]BASE ORIGINAL'!#REF!</definedName>
    <definedName name="ET" localSheetId="6">'[2]BASE ORIGINAL'!#REF!</definedName>
    <definedName name="ET">'[2]BASE ORIGINAL'!#REF!</definedName>
    <definedName name="EU" localSheetId="5">'[2]BASE ORIGINAL'!#REF!</definedName>
    <definedName name="EU" localSheetId="6">'[2]BASE ORIGINAL'!#REF!</definedName>
    <definedName name="EU">'[2]BASE ORIGINAL'!#REF!</definedName>
    <definedName name="EV" localSheetId="5">'[2]BASE ORIGINAL'!#REF!</definedName>
    <definedName name="EV" localSheetId="6">'[2]BASE ORIGINAL'!#REF!</definedName>
    <definedName name="EV">'[2]BASE ORIGINAL'!#REF!</definedName>
    <definedName name="EW" localSheetId="5">#REF!</definedName>
    <definedName name="EW" localSheetId="6">#REF!</definedName>
    <definedName name="EW">#REF!</definedName>
    <definedName name="EX" localSheetId="5">#REF!</definedName>
    <definedName name="EX" localSheetId="6">#REF!</definedName>
    <definedName name="EX">#REF!</definedName>
    <definedName name="EY">[5]REAJUSTESACTA1PROVI!#REF!</definedName>
    <definedName name="EZ" localSheetId="5">#N/A</definedName>
    <definedName name="EZ" localSheetId="6">#N/A</definedName>
    <definedName name="EZ">#N/A</definedName>
    <definedName name="FA" localSheetId="5">#N/A</definedName>
    <definedName name="FA" localSheetId="6">#N/A</definedName>
    <definedName name="FA">#N/A</definedName>
    <definedName name="FB" localSheetId="5">#N/A</definedName>
    <definedName name="FB" localSheetId="6">#N/A</definedName>
    <definedName name="FB">#N/A</definedName>
    <definedName name="FD" localSheetId="5">#N/A</definedName>
    <definedName name="FD" localSheetId="6">#N/A</definedName>
    <definedName name="FD">#N/A</definedName>
    <definedName name="FE" localSheetId="5">#N/A</definedName>
    <definedName name="FE" localSheetId="6">#N/A</definedName>
    <definedName name="FE">#N/A</definedName>
    <definedName name="Feb" localSheetId="5">[2]FEB!$A$12:$H$33</definedName>
    <definedName name="Feb" localSheetId="6">[2]FEB!$A$12:$H$33</definedName>
    <definedName name="Feb" localSheetId="0">[2]FEB!$A$12:$H$33</definedName>
    <definedName name="Feb">[2]FEB!$A$12:$H$33</definedName>
    <definedName name="Feb_C" localSheetId="5">[2]FEB!$A$35:$H$51</definedName>
    <definedName name="Feb_C" localSheetId="6">[2]FEB!$A$35:$H$51</definedName>
    <definedName name="Feb_C" localSheetId="0">[2]FEB!$A$35:$H$51</definedName>
    <definedName name="Feb_C">[2]FEB!$A$35:$H$51</definedName>
    <definedName name="FFFF"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G" localSheetId="5">[7]BASE!#REF!</definedName>
    <definedName name="FFG" localSheetId="6">[7]BASE!#REF!</definedName>
    <definedName name="FFG" localSheetId="0">[7]BASE!#REF!</definedName>
    <definedName name="FFG">[7]BASE!#REF!</definedName>
    <definedName name="FG" localSheetId="5">'[2]BASE ORIGINAL'!#REF!</definedName>
    <definedName name="FG" localSheetId="6">'[2]BASE ORIGINAL'!#REF!</definedName>
    <definedName name="FG">'[2]BASE ORIGINAL'!#REF!</definedName>
    <definedName name="FH" localSheetId="5">'[2]BASE ORIGINAL'!#REF!</definedName>
    <definedName name="FH" localSheetId="6">'[2]BASE ORIGINAL'!#REF!</definedName>
    <definedName name="FH">'[2]BASE ORIGINAL'!#REF!</definedName>
    <definedName name="FI" localSheetId="5">'[2]BASE ORIGINAL'!#REF!</definedName>
    <definedName name="FI" localSheetId="6">'[2]BASE ORIGINAL'!#REF!</definedName>
    <definedName name="FI">'[2]BASE ORIGINAL'!#REF!</definedName>
    <definedName name="FIELT" localSheetId="0">[1]BASE!$D$256</definedName>
    <definedName name="FIELT" localSheetId="1">[1]BASE!$D$256</definedName>
    <definedName name="FIELT">[1]BASE!$D$256</definedName>
    <definedName name="FILTRANTES" localSheetId="0">'[59]Base de Diseño'!#REF!</definedName>
    <definedName name="FILTRANTES">'[59]Base de Diseño'!#REF!</definedName>
    <definedName name="FJ" localSheetId="5">'[2]BASE ORIGINAL'!#REF!</definedName>
    <definedName name="FJ" localSheetId="6">'[2]BASE ORIGINAL'!#REF!</definedName>
    <definedName name="FJ">'[2]BASE ORIGINAL'!#REF!</definedName>
    <definedName name="FK" localSheetId="5">#REF!</definedName>
    <definedName name="FK" localSheetId="6">#REF!</definedName>
    <definedName name="FK">#REF!</definedName>
    <definedName name="fkdfkdfj" localSheetId="5">#REF!</definedName>
    <definedName name="fkdfkdfj" localSheetId="6">#REF!</definedName>
    <definedName name="fkdfkdfj">#REF!</definedName>
    <definedName name="FL" localSheetId="5">#REF!</definedName>
    <definedName name="FL" localSheetId="6">#REF!</definedName>
    <definedName name="FL">#REF!</definedName>
    <definedName name="FM">[5]REAJUSTESACTA1PROVI!#REF!</definedName>
    <definedName name="FN" localSheetId="5">#N/A</definedName>
    <definedName name="FN" localSheetId="6">#N/A</definedName>
    <definedName name="FN">#N/A</definedName>
    <definedName name="FO" localSheetId="5">#REF!</definedName>
    <definedName name="FO" localSheetId="6">#REF!</definedName>
    <definedName name="FO">#REF!</definedName>
    <definedName name="FORM3" localSheetId="0">[1]BASE!$D$322</definedName>
    <definedName name="FORM3" localSheetId="1">[1]BASE!$D$322</definedName>
    <definedName name="FORM3">[1]BASE!$D$322</definedName>
    <definedName name="FORMA" localSheetId="5">#REF!</definedName>
    <definedName name="FORMA" localSheetId="6">#REF!</definedName>
    <definedName name="FORMA" localSheetId="0">[25]BASE!$D$1767</definedName>
    <definedName name="FORMA">#REF!</definedName>
    <definedName name="FORMATO_5" localSheetId="5">#N/A</definedName>
    <definedName name="FORMATO_5" localSheetId="6">#N/A</definedName>
    <definedName name="FORMATO_5" localSheetId="0">#REF!</definedName>
    <definedName name="FORMATO_5">#N/A</definedName>
    <definedName name="FORMH" localSheetId="0">[1]BASE!$D$321</definedName>
    <definedName name="FORMH" localSheetId="1">[1]BASE!$D$321</definedName>
    <definedName name="FORMH">[1]BASE!$D$321</definedName>
    <definedName name="FORMM" localSheetId="5">#REF!</definedName>
    <definedName name="FORMM" localSheetId="6">#REF!</definedName>
    <definedName name="FORMM" localSheetId="0">[25]BASE!$D$1766</definedName>
    <definedName name="FORMM">#REF!</definedName>
    <definedName name="formularioCantidades" localSheetId="5">#REF!</definedName>
    <definedName name="formularioCantidades" localSheetId="6">#REF!</definedName>
    <definedName name="formularioCantidades" localSheetId="0">#REF!</definedName>
    <definedName name="formularioCantidades">#REF!</definedName>
    <definedName name="FP" localSheetId="5">#N/A</definedName>
    <definedName name="FP" localSheetId="6">#N/A</definedName>
    <definedName name="FP">#N/A</definedName>
    <definedName name="FQ" localSheetId="5">#N/A</definedName>
    <definedName name="FQ" localSheetId="6">#N/A</definedName>
    <definedName name="FQ">#N/A</definedName>
    <definedName name="FR" localSheetId="5">#N/A</definedName>
    <definedName name="FR" localSheetId="6">#N/A</definedName>
    <definedName name="FR">#N/A</definedName>
    <definedName name="FS" localSheetId="5">#N/A</definedName>
    <definedName name="FS" localSheetId="6">#N/A</definedName>
    <definedName name="FS">#N/A</definedName>
    <definedName name="FT" localSheetId="5">#N/A</definedName>
    <definedName name="FT" localSheetId="6">#N/A</definedName>
    <definedName name="FT">#N/A</definedName>
    <definedName name="FU" localSheetId="5">#N/A</definedName>
    <definedName name="FU" localSheetId="6">#N/A</definedName>
    <definedName name="FU">#N/A</definedName>
    <definedName name="FV" localSheetId="5">#N/A</definedName>
    <definedName name="FV" localSheetId="6">#N/A</definedName>
    <definedName name="FV">#N/A</definedName>
    <definedName name="FW" localSheetId="5">#N/A</definedName>
    <definedName name="FW" localSheetId="6">#N/A</definedName>
    <definedName name="FW">#N/A</definedName>
    <definedName name="FX" localSheetId="5">#N/A</definedName>
    <definedName name="FX" localSheetId="6">#N/A</definedName>
    <definedName name="FX">#N/A</definedName>
    <definedName name="FY" localSheetId="5">#N/A</definedName>
    <definedName name="FY" localSheetId="6">#N/A</definedName>
    <definedName name="FY">#N/A</definedName>
    <definedName name="FZ" localSheetId="5">'[2]BASE ORIGINAL'!#REF!</definedName>
    <definedName name="FZ" localSheetId="6">'[2]BASE ORIGINAL'!#REF!</definedName>
    <definedName name="FZ">'[2]BASE ORIGINAL'!#REF!</definedName>
    <definedName name="GA" localSheetId="5">'[2]BASE ORIGINAL'!#REF!</definedName>
    <definedName name="GA" localSheetId="6">'[2]BASE ORIGINAL'!#REF!</definedName>
    <definedName name="GA">'[2]BASE ORIGINAL'!#REF!</definedName>
    <definedName name="GASO" localSheetId="5">#REF!</definedName>
    <definedName name="GASO" localSheetId="6">#REF!</definedName>
    <definedName name="GASO" localSheetId="0">[25]BASE!$D$1796</definedName>
    <definedName name="GASO">#REF!</definedName>
    <definedName name="GB" localSheetId="5">'[2]BASE ORIGINAL'!#REF!</definedName>
    <definedName name="GB" localSheetId="6">'[2]BASE ORIGINAL'!#REF!</definedName>
    <definedName name="GB">'[2]BASE ORIGINAL'!#REF!</definedName>
    <definedName name="GC" localSheetId="5">'[2]BASE ORIGINAL'!#REF!</definedName>
    <definedName name="GC" localSheetId="6">'[2]BASE ORIGINAL'!#REF!</definedName>
    <definedName name="GC">'[2]BASE ORIGINAL'!#REF!</definedName>
    <definedName name="GD" localSheetId="5">#REF!</definedName>
    <definedName name="GD" localSheetId="6">#REF!</definedName>
    <definedName name="GD">#REF!</definedName>
    <definedName name="GE" localSheetId="5">#REF!</definedName>
    <definedName name="GE" localSheetId="6">#REF!</definedName>
    <definedName name="GE">#REF!</definedName>
    <definedName name="GEOT" localSheetId="5">#REF!</definedName>
    <definedName name="GEOT" localSheetId="6">#REF!</definedName>
    <definedName name="GEOT" localSheetId="0">[25]BASE!$D$1683</definedName>
    <definedName name="GEOT">#REF!</definedName>
    <definedName name="GF">[5]REAJUSTESACTA1PROVI!#REF!</definedName>
    <definedName name="GH" localSheetId="5">#N/A</definedName>
    <definedName name="GH" localSheetId="6">#N/A</definedName>
    <definedName name="GH">#N/A</definedName>
    <definedName name="GI" localSheetId="5">#REF!</definedName>
    <definedName name="GI" localSheetId="6">#REF!</definedName>
    <definedName name="GI">#REF!</definedName>
    <definedName name="GJ" localSheetId="5">#N/A</definedName>
    <definedName name="GJ" localSheetId="6">#N/A</definedName>
    <definedName name="GJ">#N/A</definedName>
    <definedName name="GK" localSheetId="5">#N/A</definedName>
    <definedName name="GK" localSheetId="6">#N/A</definedName>
    <definedName name="GK">#N/A</definedName>
    <definedName name="GL" localSheetId="5">#N/A</definedName>
    <definedName name="GL" localSheetId="6">#N/A</definedName>
    <definedName name="GL">#N/A</definedName>
    <definedName name="GM" localSheetId="5">#N/A</definedName>
    <definedName name="GM" localSheetId="6">#N/A</definedName>
    <definedName name="GM">#N/A</definedName>
    <definedName name="GN" localSheetId="5">#N/A</definedName>
    <definedName name="GN" localSheetId="6">#N/A</definedName>
    <definedName name="GN">#N/A</definedName>
    <definedName name="GO" localSheetId="5">#N/A</definedName>
    <definedName name="GO" localSheetId="6">#N/A</definedName>
    <definedName name="GO">#N/A</definedName>
    <definedName name="GP" localSheetId="5">#N/A</definedName>
    <definedName name="GP" localSheetId="6">#N/A</definedName>
    <definedName name="GP">#N/A</definedName>
    <definedName name="GQ" localSheetId="5">#N/A</definedName>
    <definedName name="GQ" localSheetId="6">#N/A</definedName>
    <definedName name="GQ">#N/A</definedName>
    <definedName name="GR" localSheetId="5">#N/A</definedName>
    <definedName name="GR" localSheetId="6">#N/A</definedName>
    <definedName name="GR">#N/A</definedName>
    <definedName name="GRAMA" localSheetId="0">[1]BASE!$D$272</definedName>
    <definedName name="GRAMA" localSheetId="1">[1]BASE!$D$272</definedName>
    <definedName name="GRAMA">[1]BASE!$D$272</definedName>
    <definedName name="GRAP" localSheetId="0">[1]BASE!$D$243</definedName>
    <definedName name="GRAP" localSheetId="1">[1]BASE!$D$243</definedName>
    <definedName name="GRAP">[1]BASE!$D$243</definedName>
    <definedName name="GRAV2" localSheetId="5">#REF!</definedName>
    <definedName name="GRAV2" localSheetId="6">#REF!</definedName>
    <definedName name="GRAV2" localSheetId="0">[25]BASE!$D$69</definedName>
    <definedName name="GRAV2">#REF!</definedName>
    <definedName name="GRAV3" localSheetId="5">[42]BASE!$D$64</definedName>
    <definedName name="GRAV3" localSheetId="6">[42]BASE!$D$64</definedName>
    <definedName name="GRAV3" localSheetId="0">[42]BASE!$D$64</definedName>
    <definedName name="GRAV3">[42]BASE!$D$64</definedName>
    <definedName name="GRAV4">[60]BASE!$D$63</definedName>
    <definedName name="GS" localSheetId="5">'[2]BASE ORIGINAL'!#REF!</definedName>
    <definedName name="GS" localSheetId="6">'[2]BASE ORIGINAL'!#REF!</definedName>
    <definedName name="GS">'[2]BASE ORIGINAL'!#REF!</definedName>
    <definedName name="GT" localSheetId="5">'[2]BASE ORIGINAL'!#REF!</definedName>
    <definedName name="GT" localSheetId="6">'[2]BASE ORIGINAL'!#REF!</definedName>
    <definedName name="GT">'[2]BASE ORIGINAL'!#REF!</definedName>
    <definedName name="GU" localSheetId="5">'[2]BASE ORIGINAL'!#REF!</definedName>
    <definedName name="GU" localSheetId="6">'[2]BASE ORIGINAL'!#REF!</definedName>
    <definedName name="GU">'[2]BASE ORIGINAL'!#REF!</definedName>
    <definedName name="GV" localSheetId="5">'[2]BASE ORIGINAL'!#REF!</definedName>
    <definedName name="GV" localSheetId="6">'[2]BASE ORIGINAL'!#REF!</definedName>
    <definedName name="GV">'[2]BASE ORIGINAL'!#REF!</definedName>
    <definedName name="GW" localSheetId="5">#REF!</definedName>
    <definedName name="GW" localSheetId="6">#REF!</definedName>
    <definedName name="GW">#REF!</definedName>
    <definedName name="GX" localSheetId="5">#REF!</definedName>
    <definedName name="GX" localSheetId="6">#REF!</definedName>
    <definedName name="GX">#REF!</definedName>
    <definedName name="GY">[5]REAJUSTESACTA1PROVI!#REF!</definedName>
    <definedName name="GZ" localSheetId="5">#N/A</definedName>
    <definedName name="GZ" localSheetId="6">#N/A</definedName>
    <definedName name="GZ">#N/A</definedName>
    <definedName name="HA" localSheetId="5">#N/A</definedName>
    <definedName name="HA" localSheetId="6">#N/A</definedName>
    <definedName name="HA">#N/A</definedName>
    <definedName name="HACER"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B" localSheetId="5">#N/A</definedName>
    <definedName name="HB" localSheetId="6">#N/A</definedName>
    <definedName name="HB">#N/A</definedName>
    <definedName name="HC" localSheetId="5">#N/A</definedName>
    <definedName name="HC" localSheetId="6">#N/A</definedName>
    <definedName name="HC">#N/A</definedName>
    <definedName name="HC78MH" localSheetId="0">[1]BASE!$D$24</definedName>
    <definedName name="HC78MH" localSheetId="1">[1]BASE!$D$24</definedName>
    <definedName name="HC78MH">[1]BASE!$D$24</definedName>
    <definedName name="HD" localSheetId="5">#N/A</definedName>
    <definedName name="HD" localSheetId="6">#N/A</definedName>
    <definedName name="HD">#N/A</definedName>
    <definedName name="HE" localSheetId="5">#N/A</definedName>
    <definedName name="HE" localSheetId="6">#N/A</definedName>
    <definedName name="HE">#N/A</definedName>
    <definedName name="HF" localSheetId="5">#N/A</definedName>
    <definedName name="HF" localSheetId="6">#N/A</definedName>
    <definedName name="HF">#N/A</definedName>
    <definedName name="HG" localSheetId="5">#N/A</definedName>
    <definedName name="HG" localSheetId="6">#N/A</definedName>
    <definedName name="HG">#N/A</definedName>
    <definedName name="HH" localSheetId="5">#N/A</definedName>
    <definedName name="HH" localSheetId="6">#N/A</definedName>
    <definedName name="HH">#N/A</definedName>
    <definedName name="hhhh"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I" localSheetId="5">#N/A</definedName>
    <definedName name="HI" localSheetId="6">#N/A</definedName>
    <definedName name="HI">#N/A</definedName>
    <definedName name="Hid" localSheetId="5">#REF!</definedName>
    <definedName name="Hid" localSheetId="6">#REF!</definedName>
    <definedName name="Hid" localSheetId="0">#REF!</definedName>
    <definedName name="Hid">#REF!</definedName>
    <definedName name="HJ" localSheetId="5">'[2]BASE ORIGINAL'!#REF!</definedName>
    <definedName name="HJ" localSheetId="6">'[2]BASE ORIGINAL'!#REF!</definedName>
    <definedName name="HJ">'[2]BASE ORIGINAL'!#REF!</definedName>
    <definedName name="hjhjh"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hjhjh" hidden="1">{TRUE,TRUE,-2.75,-17.75,483,276.75,FALSE,TRUE,TRUE,TRUE,0,3,15,1,110,11,8,4,TRUE,TRUE,3,TRUE,1,TRUE,75,"Swvu.EneFeb.","ACwvu.EneFeb.",#N/A,FALSE,FALSE,1.24,0.787401575,0.74,0.984251969,1,"","",FALSE,FALSE,FALSE,FALSE,1,#N/A,1,1,#DIV/0!,FALSE,"Rwvu.EneFeb.","Cwvu.EneFeb.",FALSE,FALSE,FALSE,1,300,300,FALSE,FALSE,TRUE,TRUE,TRUE}</definedName>
    <definedName name="HJHJHJHJ"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K" localSheetId="5">'[2]BASE ORIGINAL'!#REF!</definedName>
    <definedName name="HK" localSheetId="6">'[2]BASE ORIGINAL'!#REF!</definedName>
    <definedName name="HK">'[2]BASE ORIGINAL'!#REF!</definedName>
    <definedName name="hkjhjkhkhk" localSheetId="5">#REF!</definedName>
    <definedName name="hkjhjkhkhk" localSheetId="6">#REF!</definedName>
    <definedName name="hkjhjkhkhk">#REF!</definedName>
    <definedName name="HL" localSheetId="5">'[2]BASE ORIGINAL'!#REF!</definedName>
    <definedName name="HL" localSheetId="6">'[2]BASE ORIGINAL'!#REF!</definedName>
    <definedName name="HL">'[2]BASE ORIGINAL'!#REF!</definedName>
    <definedName name="HM" localSheetId="5">'[2]BASE ORIGINAL'!#REF!</definedName>
    <definedName name="HM" localSheetId="6">'[2]BASE ORIGINAL'!#REF!</definedName>
    <definedName name="HM">'[2]BASE ORIGINAL'!#REF!</definedName>
    <definedName name="HM3EB" localSheetId="5">#REF!</definedName>
    <definedName name="HM3EB" localSheetId="6">#REF!</definedName>
    <definedName name="HM3EB">#REF!</definedName>
    <definedName name="HM3JH" localSheetId="5">#REF!</definedName>
    <definedName name="HM3JH" localSheetId="6">#REF!</definedName>
    <definedName name="HM3JH" localSheetId="0">[25]BASE!$D$1741</definedName>
    <definedName name="HM3JH">#REF!</definedName>
    <definedName name="HMHF3" localSheetId="5">'[8]BASE ORIGINAL'!#REF!</definedName>
    <definedName name="HMHF3" localSheetId="6">'[8]BASE ORIGINAL'!#REF!</definedName>
    <definedName name="HMHF3" localSheetId="0">'[9]BASE ORIGINAL'!#REF!</definedName>
    <definedName name="HMHF3">'[8]BASE ORIGINAL'!#REF!</definedName>
    <definedName name="HN" localSheetId="5">#REF!</definedName>
    <definedName name="HN" localSheetId="6">#REF!</definedName>
    <definedName name="HN">#REF!</definedName>
    <definedName name="HO" localSheetId="5">#REF!</definedName>
    <definedName name="HO" localSheetId="6">#REF!</definedName>
    <definedName name="HO">#REF!</definedName>
    <definedName name="HP">[5]REAJUSTESACTA1PROVI!#REF!</definedName>
    <definedName name="HQ" localSheetId="5">#N/A</definedName>
    <definedName name="HQ" localSheetId="6">#N/A</definedName>
    <definedName name="HQ">#N/A</definedName>
    <definedName name="HR" localSheetId="5">#REF!</definedName>
    <definedName name="HR" localSheetId="6">#REF!</definedName>
    <definedName name="HR">#REF!</definedName>
    <definedName name="HS" localSheetId="5">#N/A</definedName>
    <definedName name="HS" localSheetId="6">#N/A</definedName>
    <definedName name="HS">#N/A</definedName>
    <definedName name="HT" localSheetId="5">#N/A</definedName>
    <definedName name="HT" localSheetId="6">#N/A</definedName>
    <definedName name="HT">#N/A</definedName>
    <definedName name="HT75MH" localSheetId="0">[1]BASE!$D$23</definedName>
    <definedName name="HT75MH" localSheetId="1">[1]BASE!$D$23</definedName>
    <definedName name="HT75MH">[1]BASE!$D$23</definedName>
    <definedName name="HU" localSheetId="5">#N/A</definedName>
    <definedName name="HU" localSheetId="6">#N/A</definedName>
    <definedName name="HU">#N/A</definedName>
    <definedName name="HV" localSheetId="5">#N/A</definedName>
    <definedName name="HV" localSheetId="6">#N/A</definedName>
    <definedName name="HV">#N/A</definedName>
    <definedName name="HW" localSheetId="5">#N/A</definedName>
    <definedName name="HW" localSheetId="6">#N/A</definedName>
    <definedName name="HW">#N/A</definedName>
    <definedName name="HX" localSheetId="5">#N/A</definedName>
    <definedName name="HX" localSheetId="6">#N/A</definedName>
    <definedName name="HX">#N/A</definedName>
    <definedName name="HY" localSheetId="5">#N/A</definedName>
    <definedName name="HY" localSheetId="6">#N/A</definedName>
    <definedName name="HY">#N/A</definedName>
    <definedName name="HZ" localSheetId="5">#N/A</definedName>
    <definedName name="HZ" localSheetId="6">#N/A</definedName>
    <definedName name="HZ">#N/A</definedName>
    <definedName name="I" localSheetId="5">#REF!</definedName>
    <definedName name="I" localSheetId="6">#REF!</definedName>
    <definedName name="I" localSheetId="0">#REF!</definedName>
    <definedName name="I">#REF!</definedName>
    <definedName name="I21b55" localSheetId="5">#N/A</definedName>
    <definedName name="I21b55" localSheetId="6">#N/A</definedName>
    <definedName name="I21b55" localSheetId="0">#N/A</definedName>
    <definedName name="I21b55">#N/A</definedName>
    <definedName name="IA" localSheetId="5">#N/A</definedName>
    <definedName name="IA" localSheetId="6">#N/A</definedName>
    <definedName name="IA">#N/A</definedName>
    <definedName name="IB" localSheetId="5">#N/A</definedName>
    <definedName name="IB" localSheetId="6">#N/A</definedName>
    <definedName name="IB">#N/A</definedName>
    <definedName name="IC" localSheetId="5">'[2]BASE ORIGINAL'!#REF!</definedName>
    <definedName name="IC" localSheetId="6">'[2]BASE ORIGINAL'!#REF!</definedName>
    <definedName name="IC">'[2]BASE ORIGINAL'!#REF!</definedName>
    <definedName name="ID" localSheetId="5">'[2]BASE ORIGINAL'!#REF!</definedName>
    <definedName name="ID" localSheetId="6">'[2]BASE ORIGINAL'!#REF!</definedName>
    <definedName name="ID">'[2]BASE ORIGINAL'!#REF!</definedName>
    <definedName name="IE" localSheetId="5">'[2]BASE ORIGINAL'!#REF!</definedName>
    <definedName name="IE" localSheetId="6">'[2]BASE ORIGINAL'!#REF!</definedName>
    <definedName name="IE">'[2]BASE ORIGINAL'!#REF!</definedName>
    <definedName name="IF" localSheetId="5">'[2]BASE ORIGINAL'!#REF!</definedName>
    <definedName name="IF" localSheetId="6">'[2]BASE ORIGINAL'!#REF!</definedName>
    <definedName name="IF">'[2]BASE ORIGINAL'!#REF!</definedName>
    <definedName name="IG" localSheetId="5">#REF!</definedName>
    <definedName name="IG" localSheetId="6">#REF!</definedName>
    <definedName name="IG">#REF!</definedName>
    <definedName name="IH" localSheetId="5">#REF!</definedName>
    <definedName name="IH" localSheetId="6">#REF!</definedName>
    <definedName name="IH">#REF!</definedName>
    <definedName name="II" localSheetId="5" hidden="1">#REF!</definedName>
    <definedName name="II" localSheetId="6" hidden="1">#REF!</definedName>
    <definedName name="II" hidden="1">#REF!</definedName>
    <definedName name="IJ">[5]REAJUSTESACTA1PROVI!#REF!</definedName>
    <definedName name="IK">[5]REAJUSTESACTA1PROVI!#REF!</definedName>
    <definedName name="IL" localSheetId="5" hidden="1">[2]CARBOCOL!#REF!</definedName>
    <definedName name="IL" localSheetId="6" hidden="1">[2]CARBOCOL!#REF!</definedName>
    <definedName name="IL" hidden="1">[2]CARBOCOL!#REF!</definedName>
    <definedName name="IM" localSheetId="5" hidden="1">#N/A</definedName>
    <definedName name="IM" localSheetId="6" hidden="1">#N/A</definedName>
    <definedName name="IM" hidden="1">#N/A</definedName>
    <definedName name="IMPRI" localSheetId="5">#REF!</definedName>
    <definedName name="IMPRI" localSheetId="6">#REF!</definedName>
    <definedName name="IMPRI" localSheetId="0">[25]BASE!$D$1802</definedName>
    <definedName name="IMPRI">#REF!</definedName>
    <definedName name="IN" localSheetId="5" hidden="1">[2]CARBOCOL!#REF!</definedName>
    <definedName name="IN" localSheetId="6" hidden="1">[2]CARBOCOL!#REF!</definedName>
    <definedName name="IN" hidden="1">[2]CARBOCOL!#REF!</definedName>
    <definedName name="indicador" localSheetId="5">'[2]base de datos'!$Q$3:$Q$75</definedName>
    <definedName name="indicador" localSheetId="6">'[2]base de datos'!$Q$3:$Q$75</definedName>
    <definedName name="indicador" localSheetId="0">[35]datos!$E$2:$E$69</definedName>
    <definedName name="indicador">'[2]base de datos'!$Q$3:$Q$75</definedName>
    <definedName name="INSU" localSheetId="5">#N/A</definedName>
    <definedName name="INSU" localSheetId="6">#N/A</definedName>
    <definedName name="INSU" localSheetId="0">#N/A</definedName>
    <definedName name="INSU">#N/A</definedName>
    <definedName name="InTap" localSheetId="5">#REF!</definedName>
    <definedName name="InTap" localSheetId="6">#REF!</definedName>
    <definedName name="InTap" localSheetId="0">#REF!</definedName>
    <definedName name="InTap">#REF!</definedName>
    <definedName name="INTERv">[60]BASE!$C$5</definedName>
    <definedName name="IntVal" localSheetId="5">#REF!</definedName>
    <definedName name="IntVal" localSheetId="6">#REF!</definedName>
    <definedName name="IntVal" localSheetId="0">#REF!</definedName>
    <definedName name="IntVal">#REF!</definedName>
    <definedName name="IO" localSheetId="5">#REF!</definedName>
    <definedName name="IO" localSheetId="6">#REF!</definedName>
    <definedName name="IO">#REF!</definedName>
    <definedName name="IP" localSheetId="5">#REF!</definedName>
    <definedName name="IP" localSheetId="6">#REF!</definedName>
    <definedName name="IP">#REF!</definedName>
    <definedName name="IQ" localSheetId="5">#REF!</definedName>
    <definedName name="IQ" localSheetId="6">#REF!</definedName>
    <definedName name="IQ">#REF!</definedName>
    <definedName name="IR" localSheetId="5">#REF!</definedName>
    <definedName name="IR" localSheetId="6">#REF!</definedName>
    <definedName name="IR">#REF!</definedName>
    <definedName name="IS" localSheetId="5">#REF!</definedName>
    <definedName name="IS" localSheetId="6">#REF!</definedName>
    <definedName name="IS">#REF!</definedName>
    <definedName name="IT" localSheetId="5">#REF!</definedName>
    <definedName name="IT" localSheetId="6">#REF!</definedName>
    <definedName name="IT">#REF!</definedName>
    <definedName name="ItemCodos" localSheetId="5">#REF!</definedName>
    <definedName name="ItemCodos" localSheetId="6">#REF!</definedName>
    <definedName name="ItemCodos" localSheetId="0">#REF!</definedName>
    <definedName name="ItemCodos">#REF!</definedName>
    <definedName name="IU" localSheetId="5">#REF!</definedName>
    <definedName name="IU" localSheetId="6">#REF!</definedName>
    <definedName name="IU">#REF!</definedName>
    <definedName name="IV" localSheetId="5">#REF!</definedName>
    <definedName name="IV" localSheetId="6">#REF!</definedName>
    <definedName name="IV">#REF!</definedName>
    <definedName name="IW" localSheetId="5">#REF!</definedName>
    <definedName name="IW" localSheetId="6">#REF!</definedName>
    <definedName name="IW">#REF!</definedName>
    <definedName name="IX" localSheetId="5">#REF!</definedName>
    <definedName name="IX" localSheetId="6">#REF!</definedName>
    <definedName name="IX">#REF!</definedName>
    <definedName name="IY" localSheetId="5">#REF!</definedName>
    <definedName name="IY" localSheetId="6">#REF!</definedName>
    <definedName name="IY">#REF!</definedName>
    <definedName name="IZ" localSheetId="5">#REF!</definedName>
    <definedName name="IZ" localSheetId="6">#REF!</definedName>
    <definedName name="IZ">#REF!</definedName>
    <definedName name="jdfjkd" localSheetId="0">#REF!</definedName>
    <definedName name="jdfjkd">#REF!</definedName>
    <definedName name="JHHHHH" localSheetId="5">[61]Interventoria!#REF!</definedName>
    <definedName name="JHHHHH" localSheetId="10">[62]Interventoria!#REF!</definedName>
    <definedName name="JHHHHH" localSheetId="6">[61]Interventoria!#REF!</definedName>
    <definedName name="JHHHHH" localSheetId="0">'[63]INTERVENTORIA MOC'!#REF!</definedName>
    <definedName name="JHHHHH">#REF!</definedName>
    <definedName name="JKJKJK"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J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U" localSheetId="5">#REF!</definedName>
    <definedName name="JU" localSheetId="6">#REF!</definedName>
    <definedName name="JU" localSheetId="0">[52]BASE!$D$473</definedName>
    <definedName name="JU">#REF!</definedName>
    <definedName name="JulAgo">'[58]Jul-Ago'!$A$12:$H$29</definedName>
    <definedName name="JulAgo_C" localSheetId="5">#REF!</definedName>
    <definedName name="JulAgo_C" localSheetId="6">#REF!</definedName>
    <definedName name="JulAgo_C" localSheetId="0">#REF!</definedName>
    <definedName name="JulAgo_C">#REF!</definedName>
    <definedName name="KI" localSheetId="5">#REF!</definedName>
    <definedName name="KI" localSheetId="6">#REF!</definedName>
    <definedName name="KI" localSheetId="0">[52]BASE!$D$8</definedName>
    <definedName name="KI">#REF!</definedName>
    <definedName name="KJH" localSheetId="5">#REF!</definedName>
    <definedName name="KJH" localSheetId="6">#REF!</definedName>
    <definedName name="KJH">#REF!</definedName>
    <definedName name="L" localSheetId="5">#REF!</definedName>
    <definedName name="L" localSheetId="6">#REF!</definedName>
    <definedName name="L">#REF!</definedName>
    <definedName name="LARGUE">[45]BASE!$D$394</definedName>
    <definedName name="LECHOS" localSheetId="5">#REF!</definedName>
    <definedName name="LECHOS" localSheetId="6">#REF!</definedName>
    <definedName name="LECHOS" localSheetId="0">#REF!</definedName>
    <definedName name="LECHOS">#REF!</definedName>
    <definedName name="lechosdos">#REF!</definedName>
    <definedName name="Lestrategicas" localSheetId="5">'[2]base de datos'!$J$3:$J$7</definedName>
    <definedName name="Lestrategicas" localSheetId="6">'[2]base de datos'!$J$3:$J$7</definedName>
    <definedName name="Lestrategicas" localSheetId="0">'[2]base de datos'!$J$3:$J$7</definedName>
    <definedName name="Lestrategicas">'[2]base de datos'!$J$3:$J$7</definedName>
    <definedName name="LIMP" localSheetId="5">#REF!</definedName>
    <definedName name="LIMP" localSheetId="6">#REF!</definedName>
    <definedName name="LIMP" localSheetId="0">[25]BASE!$D$88</definedName>
    <definedName name="LIMP">#REF!</definedName>
    <definedName name="lineas" localSheetId="5">#REF!</definedName>
    <definedName name="lineas" localSheetId="6">#REF!</definedName>
    <definedName name="lineas" localSheetId="0">[35]datos!$A$2:$A$6</definedName>
    <definedName name="lineas">#REF!</definedName>
    <definedName name="LisaCodSAO">#REF!</definedName>
    <definedName name="Listacanti" localSheetId="5">#REF!</definedName>
    <definedName name="Listacanti" localSheetId="6">#REF!</definedName>
    <definedName name="Listacanti" localSheetId="0">#REF!</definedName>
    <definedName name="Listacanti">#REF!</definedName>
    <definedName name="ListaCantidad" localSheetId="5">#REF!</definedName>
    <definedName name="ListaCantidad" localSheetId="6">#REF!</definedName>
    <definedName name="ListaCantidad" localSheetId="0">#REF!</definedName>
    <definedName name="ListaCantidad">#REF!</definedName>
    <definedName name="ListaItem" localSheetId="5">#REF!</definedName>
    <definedName name="ListaItem" localSheetId="6">#REF!</definedName>
    <definedName name="ListaItem" localSheetId="0">#REF!</definedName>
    <definedName name="ListaItem">#REF!</definedName>
    <definedName name="ListaUni" localSheetId="5">#REF!</definedName>
    <definedName name="ListaUni" localSheetId="6">#REF!</definedName>
    <definedName name="ListaUni" localSheetId="0">#REF!</definedName>
    <definedName name="ListaUni">#REF!</definedName>
    <definedName name="LISTON">[45]BASE!$D$395</definedName>
    <definedName name="LKM" localSheetId="5">#REF!</definedName>
    <definedName name="LKM" localSheetId="6">#REF!</definedName>
    <definedName name="LKM" localSheetId="0">[52]BASE!$D$11</definedName>
    <definedName name="LKM">#REF!</definedName>
    <definedName name="LLAC12" localSheetId="5">#REF!</definedName>
    <definedName name="LLAC12" localSheetId="6">#REF!</definedName>
    <definedName name="LLAC12" localSheetId="0">[25]BASE!$D$1651</definedName>
    <definedName name="LLAC12">#REF!</definedName>
    <definedName name="LLAP12" localSheetId="5">#REF!</definedName>
    <definedName name="LLAP12" localSheetId="6">#REF!</definedName>
    <definedName name="LLAP12" localSheetId="0">[25]BASE!$D$1650</definedName>
    <definedName name="LLAP12">#REF!</definedName>
    <definedName name="LONG" localSheetId="5">#REF!</definedName>
    <definedName name="LONG" localSheetId="6">#REF!</definedName>
    <definedName name="LONG" localSheetId="0">#REF!</definedName>
    <definedName name="LONG">#REF!</definedName>
    <definedName name="LUBRI" localSheetId="0">[1]BASE!$D$213</definedName>
    <definedName name="LUBRI" localSheetId="1">[1]BASE!$D$213</definedName>
    <definedName name="LUBRI">[1]BASE!$D$213</definedName>
    <definedName name="LUPVC" localSheetId="0">[1]BASE!$D$70</definedName>
    <definedName name="LUPVC" localSheetId="1">[1]BASE!$D$70</definedName>
    <definedName name="LUPVC">[1]BASE!$D$70</definedName>
    <definedName name="LUPVT" localSheetId="5">#REF!</definedName>
    <definedName name="LUPVT" localSheetId="6">#REF!</definedName>
    <definedName name="LUPVT" localSheetId="0">[25]BASE!$D$87</definedName>
    <definedName name="LUPVT">#REF!</definedName>
    <definedName name="m" localSheetId="5">#REF!</definedName>
    <definedName name="m" localSheetId="6">#REF!</definedName>
    <definedName name="m" localSheetId="0">[64]BASE!$D$8</definedName>
    <definedName name="m">#REF!</definedName>
    <definedName name="M120K" localSheetId="5">#REF!</definedName>
    <definedName name="M120K" localSheetId="6">#REF!</definedName>
    <definedName name="M120K" localSheetId="0">[25]BASE!$D$48</definedName>
    <definedName name="M120K">#REF!</definedName>
    <definedName name="M240K" localSheetId="0">[1]BASE!$D$39</definedName>
    <definedName name="M240K" localSheetId="1">[1]BASE!$D$39</definedName>
    <definedName name="M240K">[1]BASE!$D$39</definedName>
    <definedName name="M280K" localSheetId="0">[1]BASE!$D$38</definedName>
    <definedName name="M280K" localSheetId="1">[1]BASE!$D$38</definedName>
    <definedName name="M280K">[1]BASE!$D$38</definedName>
    <definedName name="MADCJ" localSheetId="0">[1]BASE!$D$269</definedName>
    <definedName name="MADCJ" localSheetId="1">[1]BASE!$D$269</definedName>
    <definedName name="MADCJ">[1]BASE!$D$269</definedName>
    <definedName name="MANTO">[45]BASE!$D$401</definedName>
    <definedName name="Mar" localSheetId="5">[2]MAR!$A$12:$H$33</definedName>
    <definedName name="Mar" localSheetId="6">[2]MAR!$A$12:$H$33</definedName>
    <definedName name="Mar" localSheetId="0">[2]MAR!$A$12:$H$33</definedName>
    <definedName name="Mar">[2]MAR!$A$12:$H$33</definedName>
    <definedName name="Mar_C" localSheetId="5">[2]MAR!$A$35:$H$51</definedName>
    <definedName name="Mar_C" localSheetId="6">[2]MAR!$A$35:$H$51</definedName>
    <definedName name="Mar_C" localSheetId="0">[2]MAR!$A$35:$H$51</definedName>
    <definedName name="Mar_C">[2]MAR!$A$35:$H$51</definedName>
    <definedName name="MARABA" localSheetId="0">[1]BASE!$D$248</definedName>
    <definedName name="MARABA" localSheetId="1">[1]BASE!$D$248</definedName>
    <definedName name="MARABA">[1]BASE!$D$248</definedName>
    <definedName name="MarAbr">'[58]Mar-Abr'!$A$12:$H$34</definedName>
    <definedName name="MaterialTub" localSheetId="5">#REF!</definedName>
    <definedName name="MaterialTub" localSheetId="6">#REF!</definedName>
    <definedName name="MaterialTub" localSheetId="0">#REF!</definedName>
    <definedName name="MaterialTub">#REF!</definedName>
    <definedName name="MATPR" localSheetId="0">[1]BASE!$D$49</definedName>
    <definedName name="MATPR" localSheetId="1">[1]BASE!$D$49</definedName>
    <definedName name="MATPR">[1]BASE!$D$49</definedName>
    <definedName name="MayJun">'[58]May-Jun'!$A$12:$H$32</definedName>
    <definedName name="MayJun_C" localSheetId="5">#REF!</definedName>
    <definedName name="MayJun_C" localSheetId="6">#REF!</definedName>
    <definedName name="MayJun_C" localSheetId="0">#REF!</definedName>
    <definedName name="MayJun_C">#REF!</definedName>
    <definedName name="mc" localSheetId="5">#REF!</definedName>
    <definedName name="mc" localSheetId="6">#REF!</definedName>
    <definedName name="mc" localSheetId="0">#N/A</definedName>
    <definedName name="mc">#REF!</definedName>
    <definedName name="MC4CM" localSheetId="5">#REF!</definedName>
    <definedName name="MC4CM" localSheetId="6">#REF!</definedName>
    <definedName name="MC4CM" localSheetId="0">[25]BASE!$D$1698</definedName>
    <definedName name="MC4CM">#REF!</definedName>
    <definedName name="MEDID" localSheetId="5">#REF!</definedName>
    <definedName name="MEDID" localSheetId="6">#REF!</definedName>
    <definedName name="MEDID" localSheetId="0">[2]BASE!$D$349</definedName>
    <definedName name="MEDID">#REF!</definedName>
    <definedName name="mem" localSheetId="0">[5]REAJUSTESACTA1PROVI!#REF!</definedName>
    <definedName name="mem">[5]REAJUSTESACTA1PROVI!#REF!</definedName>
    <definedName name="MES" localSheetId="5">'[2]base de datos'!$W$3:$W$14</definedName>
    <definedName name="MES" localSheetId="6">'[2]base de datos'!$W$3:$W$14</definedName>
    <definedName name="mes" localSheetId="0">[35]datos!$G$2:$G$13</definedName>
    <definedName name="MES">'[2]base de datos'!$W$3:$W$14</definedName>
    <definedName name="MES_COM" localSheetId="5">'[2]base de datos'!$X$3:$X$14</definedName>
    <definedName name="MES_COM" localSheetId="6">'[2]base de datos'!$X$3:$X$14</definedName>
    <definedName name="MES_COM" localSheetId="0">'[2]base de datos'!$X$3:$X$14</definedName>
    <definedName name="MES_COM">'[2]base de datos'!$X$3:$X$14</definedName>
    <definedName name="mm" localSheetId="5">#REF!</definedName>
    <definedName name="mm" localSheetId="6">#REF!</definedName>
    <definedName name="mm" localSheetId="0">[2]BASE!$D$439</definedName>
    <definedName name="mm">#REF!</definedName>
    <definedName name="MO120K" localSheetId="0">[45]PRELIM!$B$427</definedName>
    <definedName name="MO120K">[45]PRELIM!$B$427</definedName>
    <definedName name="MO240K" localSheetId="0">[45]PRELIM!$B$412</definedName>
    <definedName name="MO240K">[45]PRELIM!$B$412</definedName>
    <definedName name="MO280K" localSheetId="0">[45]PRELIM!$B$397</definedName>
    <definedName name="MO280K">[45]PRELIM!$B$397</definedName>
    <definedName name="MOCARG" localSheetId="5">#REF!</definedName>
    <definedName name="MOCARG" localSheetId="6">#REF!</definedName>
    <definedName name="MOCARG" localSheetId="0">[16]BASE!$D$20</definedName>
    <definedName name="MOCARG">#REF!</definedName>
    <definedName name="MOENC" localSheetId="0">[1]BASE!$D$17</definedName>
    <definedName name="MOENC" localSheetId="1">[1]BASE!$D$17</definedName>
    <definedName name="MOENC">[1]BASE!$D$17</definedName>
    <definedName name="MOIHF" localSheetId="0">[1]BASE!$D$15</definedName>
    <definedName name="MOIHF" localSheetId="1">[1]BASE!$D$15</definedName>
    <definedName name="MOIHF">[1]BASE!$D$15</definedName>
    <definedName name="MOPRE" localSheetId="0">[1]BASE!$D$13</definedName>
    <definedName name="MOPRE" localSheetId="1">[1]BASE!$D$13</definedName>
    <definedName name="MOPRE">[1]BASE!$D$13</definedName>
    <definedName name="MOTOB2">[36]BASE!$D$504</definedName>
    <definedName name="MOTON" localSheetId="5">#REF!</definedName>
    <definedName name="MOTON" localSheetId="6">#REF!</definedName>
    <definedName name="MOTON" localSheetId="0">[2]BASE!$D$443</definedName>
    <definedName name="MOTON">#REF!</definedName>
    <definedName name="MOTOP" localSheetId="0">[1]BASE!$D$12</definedName>
    <definedName name="MOTOP" localSheetId="1">[1]BASE!$D$12</definedName>
    <definedName name="MOTOP">[1]BASE!$D$12</definedName>
    <definedName name="MOVOL" localSheetId="5">#REF!</definedName>
    <definedName name="MOVOL" localSheetId="6">#REF!</definedName>
    <definedName name="MOVOL" localSheetId="0">[25]BASE!$D$16</definedName>
    <definedName name="MOVOL">#REF!</definedName>
    <definedName name="municipio" localSheetId="5">#REF!</definedName>
    <definedName name="municipio" localSheetId="6">#REF!</definedName>
    <definedName name="municipio" localSheetId="0">[35]datos!$J$2:$J$84</definedName>
    <definedName name="municipio">#REF!</definedName>
    <definedName name="municipios" localSheetId="5">'[2]base de datos'!$I$3:$I$86</definedName>
    <definedName name="municipios" localSheetId="6">'[2]base de datos'!$I$3:$I$86</definedName>
    <definedName name="municipios" localSheetId="0">'[65]base de datos'!$I$3:$I$86</definedName>
    <definedName name="municipios">'[2]base de datos'!$I$3:$I$86</definedName>
    <definedName name="NB" localSheetId="5">#REF!</definedName>
    <definedName name="NB" localSheetId="6">#REF!</definedName>
    <definedName name="NB" localSheetId="0">#REF!</definedName>
    <definedName name="NB">#REF!</definedName>
    <definedName name="Niqui" localSheetId="5">#N/A</definedName>
    <definedName name="Niqui" localSheetId="6">#N/A</definedName>
    <definedName name="Niqui" localSheetId="0">#N/A</definedName>
    <definedName name="Niqui">#N/A</definedName>
    <definedName name="Norte" localSheetId="5">#N/A</definedName>
    <definedName name="Norte" localSheetId="6">#N/A</definedName>
    <definedName name="Norte" localSheetId="0">#N/A</definedName>
    <definedName name="Norte">#N/A</definedName>
    <definedName name="NovDic">'[58]Nov-Dic'!$A$12:$H$34</definedName>
    <definedName name="ñ" localSheetId="5">#REF!</definedName>
    <definedName name="ñ" localSheetId="6">#REF!</definedName>
    <definedName name="ñ" localSheetId="0">[52]BASE!$D$8</definedName>
    <definedName name="ñ">#REF!</definedName>
    <definedName name="O" localSheetId="5">#REF!</definedName>
    <definedName name="O" localSheetId="6">#REF!</definedName>
    <definedName name="O" localSheetId="0">[32]BASE!$D$10</definedName>
    <definedName name="O">#REF!</definedName>
    <definedName name="OFICI" localSheetId="0">[1]BASE!$D$9</definedName>
    <definedName name="OFICI" localSheetId="1">[1]BASE!$D$9</definedName>
    <definedName name="OFICI">[1]BASE!$D$9</definedName>
    <definedName name="OFICI_" localSheetId="5">[43]BASE!$D$11</definedName>
    <definedName name="OFICI_" localSheetId="6">[43]BASE!$D$11</definedName>
    <definedName name="OFICI_" localSheetId="0">[43]BASE!$D$11</definedName>
    <definedName name="OFICI_">[43]BASE!$D$11</definedName>
    <definedName name="P150X240" localSheetId="5">#REF!</definedName>
    <definedName name="P150X240" localSheetId="6">#REF!</definedName>
    <definedName name="P150X240" localSheetId="0">[25]BASE!$D$1673</definedName>
    <definedName name="P150X240">#REF!</definedName>
    <definedName name="P80X200" localSheetId="0">[1]BASE!$D$246</definedName>
    <definedName name="P80X200" localSheetId="1">[1]BASE!$D$246</definedName>
    <definedName name="P80X200">[1]BASE!$D$246</definedName>
    <definedName name="P90X200" localSheetId="0">[1]BASE!$D$245</definedName>
    <definedName name="P90X200" localSheetId="1">[1]BASE!$D$245</definedName>
    <definedName name="P90X200">[1]BASE!$D$245</definedName>
    <definedName name="PA14X" localSheetId="5">[7]BASE!$D$371</definedName>
    <definedName name="PA14X" localSheetId="6">[7]BASE!$D$371</definedName>
    <definedName name="PA14X" localSheetId="0">[7]BASE!$D$371</definedName>
    <definedName name="PA14X">[7]BASE!$D$371</definedName>
    <definedName name="PAPA">#REF!</definedName>
    <definedName name="PEGCO" localSheetId="0">[1]BASE!$D$268</definedName>
    <definedName name="PEGCO" localSheetId="1">[1]BASE!$D$268</definedName>
    <definedName name="PEGCO">[1]BASE!$D$268</definedName>
    <definedName name="PERM" localSheetId="5">#N/A</definedName>
    <definedName name="PERM" localSheetId="6">#N/A</definedName>
    <definedName name="PERM" localSheetId="0">#N/A</definedName>
    <definedName name="PERM">#N/A</definedName>
    <definedName name="permisos" localSheetId="5">#REF!</definedName>
    <definedName name="permisos" localSheetId="6">#REF!</definedName>
    <definedName name="permisos" localSheetId="0">[24]BASE!#REF!</definedName>
    <definedName name="permisos">#REF!</definedName>
    <definedName name="PERNO" localSheetId="5">[7]BASE!$D$369</definedName>
    <definedName name="PERNO" localSheetId="6">[7]BASE!$D$369</definedName>
    <definedName name="PERNO" localSheetId="0">[7]BASE!$D$369</definedName>
    <definedName name="PERNO">[7]BASE!$D$369</definedName>
    <definedName name="PIE4A6" localSheetId="5">#REF!</definedName>
    <definedName name="PIE4A6" localSheetId="6">#REF!</definedName>
    <definedName name="PIE4A6" localSheetId="0">[25]BASE!$D$60</definedName>
    <definedName name="PIE4A6">#REF!</definedName>
    <definedName name="PIECR" localSheetId="5">#REF!</definedName>
    <definedName name="PIECR" localSheetId="6">#REF!</definedName>
    <definedName name="PIECR" localSheetId="0">[2]BASE!$D$69</definedName>
    <definedName name="PIECR">#REF!</definedName>
    <definedName name="PIEDR" localSheetId="0">[1]BASE!$D$50</definedName>
    <definedName name="PIEDR" localSheetId="1">[1]BASE!$D$50</definedName>
    <definedName name="PIEDR">[1]BASE!$D$50</definedName>
    <definedName name="PINBAR" localSheetId="0">[1]BASE!$D$250</definedName>
    <definedName name="PINBAR" localSheetId="1">[1]BASE!$D$250</definedName>
    <definedName name="PINBAR">[1]BASE!$D$250</definedName>
    <definedName name="PINBLA" localSheetId="5">#REF!</definedName>
    <definedName name="PINBLA" localSheetId="6">#REF!</definedName>
    <definedName name="PINBLA" localSheetId="0">[25]BASE!$D$1678</definedName>
    <definedName name="PINBLA">#REF!</definedName>
    <definedName name="PLAELE" localSheetId="5">#REF!</definedName>
    <definedName name="PLAELE" localSheetId="6">#REF!</definedName>
    <definedName name="PLAELE" localSheetId="0">[25]BASE!$D$1777</definedName>
    <definedName name="PLAELE">#REF!</definedName>
    <definedName name="PLAST" localSheetId="0">[1]BASE!$D$229</definedName>
    <definedName name="PLAST" localSheetId="1">[1]BASE!$D$229</definedName>
    <definedName name="PLAST">[1]BASE!$D$229</definedName>
    <definedName name="PO" localSheetId="5">#REF!</definedName>
    <definedName name="PO" localSheetId="6">#REF!</definedName>
    <definedName name="PO" localSheetId="0">#REF!</definedName>
    <definedName name="PO">#REF!</definedName>
    <definedName name="POLINOMIAL1" localSheetId="0">[66]CANALETA9!#REF!</definedName>
    <definedName name="POLINOMIAL1">[66]CANALETA9!#REF!</definedName>
    <definedName name="Polynomial" localSheetId="0">#REF!</definedName>
    <definedName name="Polynomial">#REF!</definedName>
    <definedName name="pomch" localSheetId="5">'[2]base de datos'!$R$3:$R$38</definedName>
    <definedName name="pomch" localSheetId="6">'[2]base de datos'!$R$3:$R$38</definedName>
    <definedName name="pomch" localSheetId="0">'[2]base de datos'!$R$3:$R$38</definedName>
    <definedName name="pomch">'[2]base de datos'!$R$3:$R$38</definedName>
    <definedName name="PoMede" localSheetId="0">#REF!</definedName>
    <definedName name="PoMede">#REF!</definedName>
    <definedName name="Ppto" localSheetId="5">#N/A</definedName>
    <definedName name="Ppto" localSheetId="6">#N/A</definedName>
    <definedName name="Ppto" localSheetId="0">#N/A</definedName>
    <definedName name="Ppto">#N/A</definedName>
    <definedName name="PPtoNorte" localSheetId="5">#N/A</definedName>
    <definedName name="PPtoNorte" localSheetId="6">#N/A</definedName>
    <definedName name="PPtoNorte" localSheetId="0">#N/A</definedName>
    <definedName name="PPtoNorte">#N/A</definedName>
    <definedName name="precio" localSheetId="5">#N/A</definedName>
    <definedName name="precio" localSheetId="6">#N/A</definedName>
    <definedName name="precio" localSheetId="0">#N/A</definedName>
    <definedName name="precio">#N/A</definedName>
    <definedName name="precio2" localSheetId="5">#REF!</definedName>
    <definedName name="precio2" localSheetId="6">#REF!</definedName>
    <definedName name="precio2" localSheetId="0">#REF!</definedName>
    <definedName name="precio2">#REF!</definedName>
    <definedName name="PrecioS" localSheetId="5">#N/A</definedName>
    <definedName name="PrecioS" localSheetId="6">#N/A</definedName>
    <definedName name="PrecioS" localSheetId="0">#N/A</definedName>
    <definedName name="PrecioS">#N/A</definedName>
    <definedName name="PRES.AGRI" localSheetId="0">#REF!</definedName>
    <definedName name="PRES.AGRI">#REF!</definedName>
    <definedName name="PRESIPISTO" localSheetId="0">#REF!</definedName>
    <definedName name="PRESIPISTO">#REF!</definedName>
    <definedName name="presta" localSheetId="0">[45]BASE!$D$8</definedName>
    <definedName name="presta">[45]BASE!$D$8</definedName>
    <definedName name="PRINT_AREA_MI" localSheetId="0">#REF!</definedName>
    <definedName name="PRINT_AREA_MI">#REF!</definedName>
    <definedName name="PROF" localSheetId="5">#REF!</definedName>
    <definedName name="PROF" localSheetId="6">#REF!</definedName>
    <definedName name="PROF" localSheetId="0">#REF!</definedName>
    <definedName name="PROF">#REF!</definedName>
    <definedName name="programa" localSheetId="5">#REF!</definedName>
    <definedName name="programa" localSheetId="6">#REF!</definedName>
    <definedName name="programa" localSheetId="0">[35]datos!$B$2:$B$10</definedName>
    <definedName name="programa">#REF!</definedName>
    <definedName name="programas" localSheetId="5">'[2]base de datos'!$L$3:$L$9</definedName>
    <definedName name="programas" localSheetId="6">'[2]base de datos'!$L$3:$L$9</definedName>
    <definedName name="programas" localSheetId="0">'[2]base de datos'!$L$3:$L$9</definedName>
    <definedName name="programas">'[2]base de datos'!$L$3:$L$9</definedName>
    <definedName name="proyectos" localSheetId="5">'[2]base de datos'!$N$3:$N$18</definedName>
    <definedName name="proyectos" localSheetId="6">'[2]base de datos'!$N$3:$N$18</definedName>
    <definedName name="proyectos" localSheetId="0">[35]datos!$C$2:$C$26</definedName>
    <definedName name="proyectos">'[2]base de datos'!$N$3:$N$18</definedName>
    <definedName name="PUNTI" localSheetId="0">[1]BASE!$D$230</definedName>
    <definedName name="PUNTI" localSheetId="1">[1]BASE!$D$230</definedName>
    <definedName name="PUNTI">[1]BASE!$D$230</definedName>
    <definedName name="Q" localSheetId="5">#REF!</definedName>
    <definedName name="Q" localSheetId="6">#REF!</definedName>
    <definedName name="Q" localSheetId="0">[52]BASE!$D$473</definedName>
    <definedName name="Q">#REF!</definedName>
    <definedName name="RASF" localSheetId="5">[67]BASE!$D$75</definedName>
    <definedName name="RASF" localSheetId="6">[67]BASE!$D$75</definedName>
    <definedName name="RASF" localSheetId="0">[67]BASE!$D$75</definedName>
    <definedName name="RASF">[67]BASE!$D$75</definedName>
    <definedName name="REJILLA" localSheetId="5">#REF!</definedName>
    <definedName name="REJILLA" localSheetId="6">#REF!</definedName>
    <definedName name="REJILLA" localSheetId="0">[2]BASE!$D$460</definedName>
    <definedName name="REJILLA">#REF!</definedName>
    <definedName name="RESU" localSheetId="5">#N/A</definedName>
    <definedName name="RESU" localSheetId="6">#N/A</definedName>
    <definedName name="RESU" localSheetId="0">#N/A</definedName>
    <definedName name="RESU">#N/A</definedName>
    <definedName name="resumen" localSheetId="5">#N/A</definedName>
    <definedName name="resumen" localSheetId="6">#N/A</definedName>
    <definedName name="resumen" localSheetId="0">#N/A</definedName>
    <definedName name="resumen">#N/A</definedName>
    <definedName name="RETRO" localSheetId="0">[1]BASE!$D$307</definedName>
    <definedName name="RETRO" localSheetId="1">[1]BASE!$D$307</definedName>
    <definedName name="RETRO">[1]BASE!$D$307</definedName>
    <definedName name="REY" localSheetId="0">'[68]Tabla 1.1'!#REF!</definedName>
    <definedName name="REY">'[68]Tabla 1.1'!#REF!</definedName>
    <definedName name="RLIGA" localSheetId="5">#REF!</definedName>
    <definedName name="RLIGA" localSheetId="6">#REF!</definedName>
    <definedName name="RLIGA" localSheetId="0">[25]BASE!$D$1803</definedName>
    <definedName name="RLIGA">#REF!</definedName>
    <definedName name="Rwvu.ComparEneMar9697." hidden="1">'[50]Seguimiento CSF'!$L$1:$N$65536,'[50]Seguimiento CSF'!$R$1:$BU$65536</definedName>
    <definedName name="Rwvu.EneFeb." hidden="1">'[50]Seguimiento CSF'!$L$1:$N$65536,'[50]Seguimiento CSF'!$Q$1:$AD$65536</definedName>
    <definedName name="Rwvu.Formato._.Corto." hidden="1">'[50]Seguimiento CSF'!$L$1:$N$65536,'[50]Seguimiento CSF'!$R$1:$AD$65536,'[50]Seguimiento CSF'!$AH$1:$AY$65536,'[50]Seguimiento CSF'!$BA$1:$BH$65536,'[50]Seguimiento CSF'!$BJ$1:$BQ$65536,'[50]Seguimiento CSF'!$BS$1:$CF$65536</definedName>
    <definedName name="Rwvu.OPEF._.96." hidden="1">'[50]Resumen OPEF'!$E$1:$J$65536,'[50]Resumen OPEF'!$M$1:$Q$65536</definedName>
    <definedName name="Rwvu.OPEF._.97." localSheetId="0" hidden="1">'[50]Resumen OPEF'!$C$1:$C$65536,'[50]Resumen OPEF'!#REF!,'[50]Resumen OPEF'!$K$1:$Q$65536</definedName>
    <definedName name="Rwvu.OPEF._.97." hidden="1">'[50]Resumen OPEF'!$C$1:$C$65536,'[50]Resumen OPEF'!#REF!,'[50]Resumen OPEF'!$K$1:$Q$65536</definedName>
    <definedName name="Sabaneta" localSheetId="0">#REF!</definedName>
    <definedName name="Sabaneta">#REF!</definedName>
    <definedName name="SAOG7" localSheetId="5">#REF!</definedName>
    <definedName name="SAOG7" localSheetId="6">#REF!</definedName>
    <definedName name="SAOG7" localSheetId="0">#REF!</definedName>
    <definedName name="SAOG7">#REF!</definedName>
    <definedName name="SAOG7OCTUBRE" localSheetId="5">#REF!</definedName>
    <definedName name="SAOG7OCTUBRE" localSheetId="6">#REF!</definedName>
    <definedName name="SAOG7OCTUBRE" localSheetId="0">#REF!</definedName>
    <definedName name="SAOG7OCTUBRE">#REF!</definedName>
    <definedName name="SepOct">'[58]Sep-Oct'!$A$12:$H$30</definedName>
    <definedName name="SepOct_C" localSheetId="5">#REF!</definedName>
    <definedName name="SepOct_C" localSheetId="6">#REF!</definedName>
    <definedName name="SepOct_C" localSheetId="0">#REF!</definedName>
    <definedName name="SepOct_C">#REF!</definedName>
    <definedName name="septico" localSheetId="0">#REF!</definedName>
    <definedName name="septico">#REF!</definedName>
    <definedName name="SHARED_FORMULA_21">#N/A</definedName>
    <definedName name="SIKAD" localSheetId="5">#REF!</definedName>
    <definedName name="SIKAD" localSheetId="6">#REF!</definedName>
    <definedName name="SIKAD" localSheetId="0">[2]BASE!$D$485</definedName>
    <definedName name="SIKAD">#REF!</definedName>
    <definedName name="SLPVC" localSheetId="0">[1]BASE!$D$214</definedName>
    <definedName name="SLPVC" localSheetId="1">[1]BASE!$D$214</definedName>
    <definedName name="SLPVC">[1]BASE!$D$214</definedName>
    <definedName name="SMMLV" localSheetId="5">#REF!</definedName>
    <definedName name="SMMLV" localSheetId="6">#REF!</definedName>
    <definedName name="SMMLV" localSheetId="0">[2]PRESTA!$D$13</definedName>
    <definedName name="SMMLV">#REF!</definedName>
    <definedName name="SOLDA" localSheetId="5">#REF!</definedName>
    <definedName name="SOLDA" localSheetId="6">#REF!</definedName>
    <definedName name="SOLDA" localSheetId="0">[25]BASE!$D$18</definedName>
    <definedName name="SOLDA">#REF!</definedName>
    <definedName name="SOLPVC" localSheetId="5">#REF!</definedName>
    <definedName name="SOLPVC" localSheetId="6">#REF!</definedName>
    <definedName name="SOLPVC" localSheetId="0">[2]BASE!$D$79</definedName>
    <definedName name="SOLPVC">#REF!</definedName>
    <definedName name="solver_eng" localSheetId="1" hidden="1">1</definedName>
    <definedName name="solver_neg" localSheetId="1" hidden="1">1</definedName>
    <definedName name="solver_num" localSheetId="1" hidden="1">0</definedName>
    <definedName name="solver_opt" localSheetId="1" hidden="1">'Presupuesto Convenio '!$F$129</definedName>
    <definedName name="solver_typ" localSheetId="1" hidden="1">1</definedName>
    <definedName name="solver_val" localSheetId="1" hidden="1">0</definedName>
    <definedName name="solver_ver" localSheetId="1" hidden="1">3</definedName>
    <definedName name="SSS" localSheetId="5">#REF!</definedName>
    <definedName name="SSS" localSheetId="6">#REF!</definedName>
    <definedName name="SSS" localSheetId="0">#REF!</definedName>
    <definedName name="SSS">#REF!</definedName>
    <definedName name="ssss" localSheetId="10">#N/A</definedName>
    <definedName name="ssss">#N/A</definedName>
    <definedName name="ssssaaaa" localSheetId="10">[69]BASE!$D$1742</definedName>
    <definedName name="ssssaaaa">[69]BASE!$D$1742</definedName>
    <definedName name="SUBA" localSheetId="5">#N/A</definedName>
    <definedName name="SUBA" localSheetId="6">#N/A</definedName>
    <definedName name="SUBA" localSheetId="0">#N/A</definedName>
    <definedName name="SUBA">#N/A</definedName>
    <definedName name="Sum" localSheetId="0">'[68]Tabla 1.1'!#REF!</definedName>
    <definedName name="Sum">'[68]Tabla 1.1'!#REF!</definedName>
    <definedName name="SUMIN" localSheetId="0">[1]BASE!$D$251</definedName>
    <definedName name="SUMIN" localSheetId="1">[1]BASE!$D$251</definedName>
    <definedName name="SUMIN">[1]BASE!$D$251</definedName>
    <definedName name="SZ" localSheetId="5">#REF!</definedName>
    <definedName name="SZ" localSheetId="6">#REF!</definedName>
    <definedName name="SZ" localSheetId="0">[52]BASE!$D$8</definedName>
    <definedName name="SZ">#REF!</definedName>
    <definedName name="T22JH" localSheetId="5">#REF!</definedName>
    <definedName name="T22JH" localSheetId="6">#REF!</definedName>
    <definedName name="T22JH" localSheetId="0">[2]BASE!$D$280</definedName>
    <definedName name="T22JH">#REF!</definedName>
    <definedName name="T32JH" localSheetId="5">#REF!</definedName>
    <definedName name="T32JH" localSheetId="6">#REF!</definedName>
    <definedName name="T32JH" localSheetId="0">[2]BASE!$D$279</definedName>
    <definedName name="T32JH">#REF!</definedName>
    <definedName name="T33JH" localSheetId="5">#REF!</definedName>
    <definedName name="T33JH" localSheetId="6">#REF!</definedName>
    <definedName name="T33JH" localSheetId="0">[2]BASE!$D$278</definedName>
    <definedName name="T33JH">#REF!</definedName>
    <definedName name="T42JH" localSheetId="5">#REF!</definedName>
    <definedName name="T42JH" localSheetId="6">#REF!</definedName>
    <definedName name="T42JH" localSheetId="0">[2]BASE!$D$277</definedName>
    <definedName name="T42JH">#REF!</definedName>
    <definedName name="T43JH" localSheetId="5">#REF!</definedName>
    <definedName name="T43JH" localSheetId="6">#REF!</definedName>
    <definedName name="T43JH" localSheetId="0">[2]BASE!$D$276</definedName>
    <definedName name="T43JH">#REF!</definedName>
    <definedName name="T44JH" localSheetId="5">#REF!</definedName>
    <definedName name="T44JH" localSheetId="6">#REF!</definedName>
    <definedName name="T44JH" localSheetId="0">[2]BASE!$D$271</definedName>
    <definedName name="T44JH">#REF!</definedName>
    <definedName name="T62JH" localSheetId="5">#REF!</definedName>
    <definedName name="T62JH" localSheetId="6">#REF!</definedName>
    <definedName name="T62JH" localSheetId="0">[2]BASE!$D$275</definedName>
    <definedName name="T62JH">#REF!</definedName>
    <definedName name="T63JH" localSheetId="5">#REF!</definedName>
    <definedName name="T63JH" localSheetId="6">#REF!</definedName>
    <definedName name="T63JH" localSheetId="0">[2]BASE!$D$274</definedName>
    <definedName name="T63JH">#REF!</definedName>
    <definedName name="T64JH" localSheetId="5">#REF!</definedName>
    <definedName name="T64JH" localSheetId="6">#REF!</definedName>
    <definedName name="T64JH" localSheetId="0">[2]BASE!$D$273</definedName>
    <definedName name="T64JH">#REF!</definedName>
    <definedName name="T66JH" localSheetId="0">[1]BASE!$D$163</definedName>
    <definedName name="T66JH" localSheetId="1">[1]BASE!$D$163</definedName>
    <definedName name="T66JH">[1]BASE!$D$163</definedName>
    <definedName name="T82JH" localSheetId="5">#REF!</definedName>
    <definedName name="T82JH" localSheetId="6">#REF!</definedName>
    <definedName name="T82JH" localSheetId="0">[2]BASE!$D$287</definedName>
    <definedName name="T82JH">#REF!</definedName>
    <definedName name="T83JH" localSheetId="5">#REF!</definedName>
    <definedName name="T83JH" localSheetId="6">#REF!</definedName>
    <definedName name="T83JH" localSheetId="0">[2]BASE!$D$286</definedName>
    <definedName name="T83JH">#REF!</definedName>
    <definedName name="T84JH" localSheetId="0">[4]BASE!$D$168</definedName>
    <definedName name="T84JH">[4]BASE!$D$168</definedName>
    <definedName name="T88EB" localSheetId="5">#REF!</definedName>
    <definedName name="T88EB" localSheetId="6">#REF!</definedName>
    <definedName name="T88EB" localSheetId="0">[2]BASE!$D$284</definedName>
    <definedName name="T88EB">#REF!</definedName>
    <definedName name="T88EL" localSheetId="5">#REF!</definedName>
    <definedName name="T88EL" localSheetId="6">#REF!</definedName>
    <definedName name="T88EL" localSheetId="0">[2]BASE!$D$283</definedName>
    <definedName name="T88EL">#REF!</definedName>
    <definedName name="TabBL">'[54]L codos'!$A$3:$V$10</definedName>
    <definedName name="TabCIM">[59]Hoja2!$A$5:$I$38</definedName>
    <definedName name="TABLA" localSheetId="0">[1]BASE!$D$255</definedName>
    <definedName name="TABLA" localSheetId="1">[1]BASE!$D$255</definedName>
    <definedName name="TABLA">[1]BASE!$D$255</definedName>
    <definedName name="TABLILLA">[45]BASE!$D$396</definedName>
    <definedName name="TACOM" localSheetId="0">[1]BASE!$D$316</definedName>
    <definedName name="TACOM" localSheetId="1">[1]BASE!$D$316</definedName>
    <definedName name="TACOM">[1]BASE!$D$316</definedName>
    <definedName name="TACOM1">[4]BASE!$D$306</definedName>
    <definedName name="TACOR" localSheetId="0">[1]BASE!$D$314</definedName>
    <definedName name="TACOR" localSheetId="1">[1]BASE!$D$314</definedName>
    <definedName name="TACOR">[1]BASE!$D$314</definedName>
    <definedName name="TACOR_" localSheetId="5">[43]BASE!$D$457</definedName>
    <definedName name="TACOR_" localSheetId="6">[43]BASE!$D$457</definedName>
    <definedName name="TACOR_" localSheetId="0">[43]BASE!$D$457</definedName>
    <definedName name="TACOR_">[43]BASE!$D$457</definedName>
    <definedName name="TAP2PN10" localSheetId="5">#REF!</definedName>
    <definedName name="TAP2PN10" localSheetId="6">#REF!</definedName>
    <definedName name="TAP2PN10">#REF!</definedName>
    <definedName name="TAPAM" localSheetId="5">#REF!</definedName>
    <definedName name="TAPAM" localSheetId="6">#REF!</definedName>
    <definedName name="TAPAM" localSheetId="0">[2]BASE!$D$351</definedName>
    <definedName name="TAPAM">#REF!</definedName>
    <definedName name="TASP1" localSheetId="5">#REF!</definedName>
    <definedName name="TASP1" localSheetId="6">#REF!</definedName>
    <definedName name="TASP1" localSheetId="0">[2]BASE!$D$332</definedName>
    <definedName name="TASP1">#REF!</definedName>
    <definedName name="TASP2" localSheetId="5">#REF!</definedName>
    <definedName name="TASP2" localSheetId="6">#REF!</definedName>
    <definedName name="TASP2" localSheetId="0">[70]BASE!$D$354</definedName>
    <definedName name="TASP2">#REF!</definedName>
    <definedName name="TASP3" localSheetId="5">#REF!</definedName>
    <definedName name="TASP3" localSheetId="6">#REF!</definedName>
    <definedName name="TASP3" localSheetId="0">[2]BASE!$D$334</definedName>
    <definedName name="TASP3">#REF!</definedName>
    <definedName name="TASP4" localSheetId="5">#REF!</definedName>
    <definedName name="TASP4" localSheetId="6">#REF!</definedName>
    <definedName name="TASP4" localSheetId="0">[2]BASE!$D$335</definedName>
    <definedName name="TASP4">#REF!</definedName>
    <definedName name="TASR4" localSheetId="5">#REF!</definedName>
    <definedName name="TASR4" localSheetId="6">#REF!</definedName>
    <definedName name="TASR4" localSheetId="0">[2]BASE!$D$336</definedName>
    <definedName name="TASR4">#REF!</definedName>
    <definedName name="TEJAB" localSheetId="0">[1]BASE!$D$65</definedName>
    <definedName name="TEJAB" localSheetId="1">[1]BASE!$D$65</definedName>
    <definedName name="TEJAB">[1]BASE!$D$65</definedName>
    <definedName name="TEJAJ" localSheetId="5">[7]BASE!$D$392</definedName>
    <definedName name="TEJAJ" localSheetId="6">[7]BASE!$D$392</definedName>
    <definedName name="TEJAJ" localSheetId="0">[7]BASE!$D$392</definedName>
    <definedName name="TEJAJ">[7]BASE!$D$392</definedName>
    <definedName name="TELEP" localSheetId="0">[1]BASE!$D$313</definedName>
    <definedName name="TELEP" localSheetId="1">[1]BASE!$D$313</definedName>
    <definedName name="TELEP">[1]BASE!$D$313</definedName>
    <definedName name="territoriales" localSheetId="5">'[2]base de datos'!$G$3:$G$11</definedName>
    <definedName name="territoriales" localSheetId="6">'[2]base de datos'!$G$3:$G$11</definedName>
    <definedName name="territoriales" localSheetId="0">'[65]base de datos'!$G$3:$G$11</definedName>
    <definedName name="territoriales">'[2]base de datos'!$G$3:$G$11</definedName>
    <definedName name="TGALV" localSheetId="5">#REF!</definedName>
    <definedName name="TGALV" localSheetId="6">#REF!</definedName>
    <definedName name="TGALV" localSheetId="0">#N/A</definedName>
    <definedName name="TGALV">#REF!</definedName>
    <definedName name="TH10J" localSheetId="5">#REF!</definedName>
    <definedName name="TH10J" localSheetId="6">#REF!</definedName>
    <definedName name="TH10J" localSheetId="0">[2]BASE!$D$282</definedName>
    <definedName name="TH10J">#REF!</definedName>
    <definedName name="THF6JH" localSheetId="5">#REF!</definedName>
    <definedName name="THF6JH" localSheetId="6">#REF!</definedName>
    <definedName name="THF6JH" localSheetId="0">[2]BASE!$D$303</definedName>
    <definedName name="THF6JH">#REF!</definedName>
    <definedName name="THF6RO" localSheetId="0">[1]BASE!$D$190</definedName>
    <definedName name="THF6RO" localSheetId="1">[1]BASE!$D$190</definedName>
    <definedName name="THF6RO">[1]BASE!$D$190</definedName>
    <definedName name="THF8JH" localSheetId="5">#REF!</definedName>
    <definedName name="THF8JH" localSheetId="6">#REF!</definedName>
    <definedName name="THF8JH" localSheetId="0">[2]BASE!$D$304</definedName>
    <definedName name="THF8JH">#REF!</definedName>
    <definedName name="_xlnm.Print_Titles">#N/A</definedName>
    <definedName name="TNOV10" localSheetId="5">#REF!</definedName>
    <definedName name="TNOV10" localSheetId="6">#REF!</definedName>
    <definedName name="TNOV10" localSheetId="0">[2]BASE!$D$213</definedName>
    <definedName name="TNOV10">#REF!</definedName>
    <definedName name="TNOV12" localSheetId="0">[1]BASE!$D$147</definedName>
    <definedName name="TNOV12" localSheetId="1">[1]BASE!$D$147</definedName>
    <definedName name="TNOV12">[1]BASE!$D$147</definedName>
    <definedName name="TNOV16" localSheetId="5">#REF!</definedName>
    <definedName name="TNOV16" localSheetId="6">#REF!</definedName>
    <definedName name="TNOV16" localSheetId="0">[2]BASE!$D$216</definedName>
    <definedName name="TNOV16">#REF!</definedName>
    <definedName name="TNOV18" localSheetId="5">#REF!</definedName>
    <definedName name="TNOV18" localSheetId="6">#REF!</definedName>
    <definedName name="TNOV18" localSheetId="0">[2]BASE!$D$217</definedName>
    <definedName name="TNOV18">#REF!</definedName>
    <definedName name="TNOV20" localSheetId="5">#REF!</definedName>
    <definedName name="TNOV20" localSheetId="6">#REF!</definedName>
    <definedName name="TNOV20" localSheetId="0">[2]BASE!$D$218</definedName>
    <definedName name="TNOV20">#REF!</definedName>
    <definedName name="TNOV6" localSheetId="5">#REF!</definedName>
    <definedName name="TNOV6" localSheetId="6">#REF!</definedName>
    <definedName name="TNOV6" localSheetId="0">[70]BASE!$D$228</definedName>
    <definedName name="TNOV6">#REF!</definedName>
    <definedName name="TNOV8" localSheetId="0">[1]BASE!$D$145</definedName>
    <definedName name="TNOV8" localSheetId="1">[1]BASE!$D$145</definedName>
    <definedName name="TNOV8">[1]BASE!$D$145</definedName>
    <definedName name="TORNI" localSheetId="0">[1]BASE!$D$265</definedName>
    <definedName name="TORNI" localSheetId="1">[1]BASE!$D$265</definedName>
    <definedName name="TORNI">[1]BASE!$D$265</definedName>
    <definedName name="Tot_Act01">#REF!</definedName>
    <definedName name="Tot_Act02">#REF!</definedName>
    <definedName name="Tot_Act03">#REF!</definedName>
    <definedName name="TotalOpti" localSheetId="5">#REF!</definedName>
    <definedName name="TotalOpti" localSheetId="6">#REF!</definedName>
    <definedName name="TotalOpti" localSheetId="0">#REF!</definedName>
    <definedName name="TotalOpti">#REF!</definedName>
    <definedName name="TOTALOPTIM" localSheetId="5">#REF!</definedName>
    <definedName name="TOTALOPTIM" localSheetId="6">#REF!</definedName>
    <definedName name="TOTALOPTIM" localSheetId="0">#REF!</definedName>
    <definedName name="TOTALOPTIM">#REF!</definedName>
    <definedName name="TOTALOPTIMIZACION" localSheetId="5">#REF!</definedName>
    <definedName name="TOTALOPTIMIZACION" localSheetId="6">#REF!</definedName>
    <definedName name="TOTALOPTIMIZACION" localSheetId="0">#REF!</definedName>
    <definedName name="TOTALOPTIMIZACION">#REF!</definedName>
    <definedName name="TOTALREPOS" localSheetId="5">#REF!</definedName>
    <definedName name="TOTALREPOS" localSheetId="6">#REF!</definedName>
    <definedName name="TOTALREPOS" localSheetId="0">#REF!</definedName>
    <definedName name="TOTALREPOS">#REF!</definedName>
    <definedName name="TOTALREPOSICION" localSheetId="5">#REF!</definedName>
    <definedName name="TOTALREPOSICION" localSheetId="6">#REF!</definedName>
    <definedName name="TOTALREPOSICION" localSheetId="0">#REF!</definedName>
    <definedName name="TOTALREPOSICION">#REF!</definedName>
    <definedName name="TPVCME" localSheetId="5">#REF!</definedName>
    <definedName name="TPVCME" localSheetId="6">#REF!</definedName>
    <definedName name="TPVCME" localSheetId="0">[70]BASE!$D$80</definedName>
    <definedName name="TPVCME">#REF!</definedName>
    <definedName name="TPVCP1" localSheetId="5">#REF!</definedName>
    <definedName name="TPVCP1" localSheetId="6">#REF!</definedName>
    <definedName name="TPVCP1" localSheetId="0">[2]BASE!$D$81</definedName>
    <definedName name="TPVCP1">#REF!</definedName>
    <definedName name="TPVCS3" localSheetId="5">'[8]BASE ORIGINAL'!#REF!</definedName>
    <definedName name="TPVCS3" localSheetId="6">'[8]BASE ORIGINAL'!#REF!</definedName>
    <definedName name="TPVCS3" localSheetId="0">'[9]BASE ORIGINAL'!#REF!</definedName>
    <definedName name="TPVCS3">'[8]BASE ORIGINAL'!#REF!</definedName>
    <definedName name="TPVCS4" localSheetId="5">#REF!</definedName>
    <definedName name="TPVCS4" localSheetId="6">#REF!</definedName>
    <definedName name="TPVCS4">#REF!</definedName>
    <definedName name="tramites" localSheetId="5">'[2]base de datos'!$T$3:$T$18</definedName>
    <definedName name="tramites" localSheetId="6">'[2]base de datos'!$T$3:$T$18</definedName>
    <definedName name="tramites" localSheetId="0">'[2]base de datos'!$T$3:$T$18</definedName>
    <definedName name="tramites">'[2]base de datos'!$T$3:$T$18</definedName>
    <definedName name="TRANA" localSheetId="5">'[8]BASE ORIGINAL'!#REF!</definedName>
    <definedName name="TRANA" localSheetId="6">'[8]BASE ORIGINAL'!#REF!</definedName>
    <definedName name="TRANA" localSheetId="0">'[9]BASE ORIGINAL'!#REF!</definedName>
    <definedName name="TRANA">'[8]BASE ORIGINAL'!#REF!</definedName>
    <definedName name="TRANAG" localSheetId="0">[1]BASE!$D$336</definedName>
    <definedName name="TRANAG" localSheetId="1">[1]BASE!$D$336</definedName>
    <definedName name="TRANAG">[1]BASE!$D$336</definedName>
    <definedName name="TRANAR" localSheetId="0">[1]BASE!$D$332</definedName>
    <definedName name="TRANAR" localSheetId="1">[1]BASE!$D$332</definedName>
    <definedName name="TRANAR">[1]BASE!$D$332</definedName>
    <definedName name="TRANS" localSheetId="0">[1]BASE!$D$333</definedName>
    <definedName name="TRANS" localSheetId="1">[1]BASE!$D$333</definedName>
    <definedName name="TRANS">[1]BASE!$D$333</definedName>
    <definedName name="tre" localSheetId="5">#REF!</definedName>
    <definedName name="tre" localSheetId="6">#REF!</definedName>
    <definedName name="tre" localSheetId="0">#REF!</definedName>
    <definedName name="tre">#REF!</definedName>
    <definedName name="TRITM" localSheetId="5">#REF!</definedName>
    <definedName name="TRITM" localSheetId="6">#REF!</definedName>
    <definedName name="TRITM" localSheetId="0">[70]BASE!$D$66</definedName>
    <definedName name="TRITM">#REF!</definedName>
    <definedName name="TRITU" localSheetId="0">[1]BASE!$D$54</definedName>
    <definedName name="TRITU" localSheetId="1">[1]BASE!$D$54</definedName>
    <definedName name="TRITU">[1]BASE!$D$54</definedName>
    <definedName name="TS">[71]INSUMOS!$A$1:$E$65536</definedName>
    <definedName name="TUAC12" localSheetId="5">#REF!</definedName>
    <definedName name="TUAC12" localSheetId="6">#REF!</definedName>
    <definedName name="TUAC12" localSheetId="0">[2]BASE!$D$269</definedName>
    <definedName name="TUAC12">#REF!</definedName>
    <definedName name="TUAC14" localSheetId="5">[72]BASE!$D$271</definedName>
    <definedName name="TUAC14" localSheetId="6">[72]BASE!$D$271</definedName>
    <definedName name="TUAC14" localSheetId="0">[72]BASE!$D$271</definedName>
    <definedName name="TUAC14">[72]BASE!$D$271</definedName>
    <definedName name="TUAC4" localSheetId="5">[72]BASE!$D$268</definedName>
    <definedName name="TUAC4" localSheetId="6">[72]BASE!$D$268</definedName>
    <definedName name="TUAC4" localSheetId="0">[72]BASE!$D$268</definedName>
    <definedName name="TUAC4">[72]BASE!$D$268</definedName>
    <definedName name="TUAC6" localSheetId="5">[72]BASE!$D$269</definedName>
    <definedName name="TUAC6" localSheetId="6">[72]BASE!$D$269</definedName>
    <definedName name="TUAC6" localSheetId="0">[72]BASE!$D$269</definedName>
    <definedName name="TUAC6">[72]BASE!$D$269</definedName>
    <definedName name="TUB8AC" localSheetId="5">#REF!</definedName>
    <definedName name="TUB8AC" localSheetId="6">#REF!</definedName>
    <definedName name="TUB8AC" localSheetId="0">[44]BASE!$D$269</definedName>
    <definedName name="TUB8AC">#REF!</definedName>
    <definedName name="TUBNE" localSheetId="5">#REF!</definedName>
    <definedName name="TUBNE" localSheetId="6">#REF!</definedName>
    <definedName name="TUBNE">#REF!</definedName>
    <definedName name="TUBS2" localSheetId="5">#REF!</definedName>
    <definedName name="TUBS2" localSheetId="6">#REF!</definedName>
    <definedName name="TUBS2">#REF!</definedName>
    <definedName name="TUBS3" localSheetId="0">[1]BASE!$D$124</definedName>
    <definedName name="TUBS3" localSheetId="1">[1]BASE!$D$124</definedName>
    <definedName name="TUBS3">[1]BASE!$D$124</definedName>
    <definedName name="TUBS4" localSheetId="0">[1]BASE!$D$125</definedName>
    <definedName name="TUBS4" localSheetId="1">[1]BASE!$D$125</definedName>
    <definedName name="TUBS4">[1]BASE!$D$125</definedName>
    <definedName name="TUBS6" localSheetId="5">[7]BASE!$D$193</definedName>
    <definedName name="TUBS6" localSheetId="6">[7]BASE!$D$193</definedName>
    <definedName name="TUBS6" localSheetId="0">[7]BASE!$D$193</definedName>
    <definedName name="TUBS6">[7]BASE!$D$193</definedName>
    <definedName name="U_Z" localSheetId="0">#REF!</definedName>
    <definedName name="U_Z">#REF!</definedName>
    <definedName name="UALU" localSheetId="5">[7]BASE!$D$370</definedName>
    <definedName name="UALU" localSheetId="6">[7]BASE!$D$370</definedName>
    <definedName name="UALU" localSheetId="0">[7]BASE!$D$370</definedName>
    <definedName name="UALU">[7]BASE!$D$370</definedName>
    <definedName name="ujhghjh" localSheetId="5">#REF!</definedName>
    <definedName name="ujhghjh" localSheetId="6">#REF!</definedName>
    <definedName name="ujhghjh" localSheetId="0">[39]BASE!$C$3</definedName>
    <definedName name="ujhghjh">#REF!</definedName>
    <definedName name="und" localSheetId="0">[1]BASE!#REF!</definedName>
    <definedName name="und" localSheetId="1">[1]BASE!#REF!</definedName>
    <definedName name="und">[1]BASE!#REF!</definedName>
    <definedName name="UNION_Z" localSheetId="0">#REF!</definedName>
    <definedName name="UNION_Z">#REF!</definedName>
    <definedName name="UNOV30" localSheetId="0">[1]BASE!$D$104</definedName>
    <definedName name="UNOV30" localSheetId="1">[1]BASE!$D$104</definedName>
    <definedName name="UNOV30">[1]BASE!$D$104</definedName>
    <definedName name="UNOV36" localSheetId="0">[1]BASE!$D$105</definedName>
    <definedName name="UNOV36" localSheetId="1">[1]BASE!$D$105</definedName>
    <definedName name="UNOV36">[1]BASE!$D$105</definedName>
    <definedName name="UNPVP4" localSheetId="5">[33]BASE!#REF!</definedName>
    <definedName name="UNPVP4" localSheetId="6">[33]BASE!#REF!</definedName>
    <definedName name="UNPVP4" localSheetId="0">[33]BASE!#REF!</definedName>
    <definedName name="UNPVP4">[33]BASE!#REF!</definedName>
    <definedName name="UNPVP5" localSheetId="5">[33]BASE!#REF!</definedName>
    <definedName name="UNPVP5" localSheetId="6">[33]BASE!#REF!</definedName>
    <definedName name="UNPVP5" localSheetId="0">[33]BASE!#REF!</definedName>
    <definedName name="UNPVP5">[33]BASE!#REF!</definedName>
    <definedName name="UNPVP6" localSheetId="5">[33]BASE!#REF!</definedName>
    <definedName name="UNPVP6" localSheetId="6">[33]BASE!#REF!</definedName>
    <definedName name="UNPVP6" localSheetId="0">[33]BASE!#REF!</definedName>
    <definedName name="UNPVP6">[33]BASE!#REF!</definedName>
    <definedName name="URAP10" localSheetId="5">#REF!</definedName>
    <definedName name="URAP10" localSheetId="6">#REF!</definedName>
    <definedName name="URAP10" localSheetId="0">[2]BASE!$D$118</definedName>
    <definedName name="URAP10">#REF!</definedName>
    <definedName name="URAP2" localSheetId="5">#REF!</definedName>
    <definedName name="URAP2" localSheetId="6">#REF!</definedName>
    <definedName name="URAP2" localSheetId="0">[2]BASE!$D$123</definedName>
    <definedName name="URAP2">#REF!</definedName>
    <definedName name="URAP3" localSheetId="5">#REF!</definedName>
    <definedName name="URAP3" localSheetId="6">#REF!</definedName>
    <definedName name="URAP3" localSheetId="0">[2]BASE!$D$122</definedName>
    <definedName name="URAP3">#REF!</definedName>
    <definedName name="URAP4" localSheetId="5">#REF!</definedName>
    <definedName name="URAP4" localSheetId="6">#REF!</definedName>
    <definedName name="URAP4" localSheetId="0">[16]BASE!$D$122</definedName>
    <definedName name="URAP4">#REF!</definedName>
    <definedName name="URAP6" localSheetId="5">#REF!</definedName>
    <definedName name="URAP6" localSheetId="6">#REF!</definedName>
    <definedName name="URAP6" localSheetId="0">[70]BASE!$D$120</definedName>
    <definedName name="URAP6">#REF!</definedName>
    <definedName name="URAP8" localSheetId="5">#REF!</definedName>
    <definedName name="URAP8" localSheetId="6">#REF!</definedName>
    <definedName name="URAP8" localSheetId="0">[2]BASE!$D$119</definedName>
    <definedName name="URAP8">#REF!</definedName>
    <definedName name="UREP12" localSheetId="5">#REF!</definedName>
    <definedName name="UREP12" localSheetId="6">#REF!</definedName>
    <definedName name="UREP12" localSheetId="0">[2]BASE!$D$124</definedName>
    <definedName name="UREP12">#REF!</definedName>
    <definedName name="UREP2" localSheetId="5">#REF!</definedName>
    <definedName name="UREP2" localSheetId="6">#REF!</definedName>
    <definedName name="UREP2" localSheetId="0">[2]BASE!$D$127</definedName>
    <definedName name="UREP2">#REF!</definedName>
    <definedName name="UREP3" localSheetId="5">#REF!</definedName>
    <definedName name="UREP3" localSheetId="6">#REF!</definedName>
    <definedName name="UREP3" localSheetId="0">[2]BASE!$D$128</definedName>
    <definedName name="UREP3">#REF!</definedName>
    <definedName name="UREP4" localSheetId="5">#REF!</definedName>
    <definedName name="UREP4" localSheetId="6">#REF!</definedName>
    <definedName name="UREP4" localSheetId="0">[2]BASE!$D$129</definedName>
    <definedName name="UREP4">#REF!</definedName>
    <definedName name="UREP6" localSheetId="5">#REF!</definedName>
    <definedName name="UREP6" localSheetId="6">#REF!</definedName>
    <definedName name="UREP6" localSheetId="0">[2]BASE!$D$126</definedName>
    <definedName name="UREP6">#REF!</definedName>
    <definedName name="UREP8" localSheetId="5">#REF!</definedName>
    <definedName name="UREP8" localSheetId="6">#REF!</definedName>
    <definedName name="UREP8" localSheetId="0">[2]BASE!$D$125</definedName>
    <definedName name="UREP8">#REF!</definedName>
    <definedName name="v"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MA3" localSheetId="5">#REF!</definedName>
    <definedName name="VALMA3" localSheetId="6">#REF!</definedName>
    <definedName name="VALMA3" localSheetId="0">[2]BASE!$D$423</definedName>
    <definedName name="VALMA3">#REF!</definedName>
    <definedName name="VALMA4" localSheetId="5">#REF!</definedName>
    <definedName name="VALMA4" localSheetId="6">#REF!</definedName>
    <definedName name="VALMA4" localSheetId="0">[16]BASE!$D$426</definedName>
    <definedName name="VALMA4">#REF!</definedName>
    <definedName name="Var" localSheetId="5">#REF!</definedName>
    <definedName name="Var" localSheetId="6">#REF!</definedName>
    <definedName name="Var" localSheetId="0">#REF!</definedName>
    <definedName name="Var">#REF!</definedName>
    <definedName name="VBOL2" localSheetId="0">[1]BASE!$D$294</definedName>
    <definedName name="VBOL2" localSheetId="1">[1]BASE!$D$294</definedName>
    <definedName name="VBOL2">[1]BASE!$D$294</definedName>
    <definedName name="VBOL4" localSheetId="0">[1]BASE!$D$295</definedName>
    <definedName name="VBOL4" localSheetId="1">[1]BASE!$D$295</definedName>
    <definedName name="VBOL4">[1]BASE!$D$295</definedName>
    <definedName name="VCBB2" localSheetId="5">#REF!</definedName>
    <definedName name="VCBB2" localSheetId="6">#REF!</definedName>
    <definedName name="VCBB2">#REF!</definedName>
    <definedName name="VCBB3" localSheetId="5">#REF!</definedName>
    <definedName name="VCBB3" localSheetId="6">#REF!</definedName>
    <definedName name="VCBB3">#REF!</definedName>
    <definedName name="VCBB8" localSheetId="5">#REF!</definedName>
    <definedName name="VCBB8" localSheetId="6">#REF!</definedName>
    <definedName name="VCBB8">#REF!</definedName>
    <definedName name="VCEL1" localSheetId="5">#REF!</definedName>
    <definedName name="VCEL1" localSheetId="6">#REF!</definedName>
    <definedName name="VCEL1" localSheetId="0">[2]BASE!$D$415</definedName>
    <definedName name="VCEL1">#REF!</definedName>
    <definedName name="VCEL2" localSheetId="5">#REF!</definedName>
    <definedName name="VCEL2" localSheetId="6">#REF!</definedName>
    <definedName name="VCEL2" localSheetId="0">[2]BASE!$D$414</definedName>
    <definedName name="VCEL2">#REF!</definedName>
    <definedName name="VCEL3" localSheetId="0">[1]BASE!$D$285</definedName>
    <definedName name="VCEL3" localSheetId="1">[1]BASE!$D$285</definedName>
    <definedName name="VCEL3">[1]BASE!$D$285</definedName>
    <definedName name="VCEL4" localSheetId="5">#REF!</definedName>
    <definedName name="VCEL4" localSheetId="6">#REF!</definedName>
    <definedName name="VCEL4" localSheetId="0">[2]BASE!$D$412</definedName>
    <definedName name="VCEL4">#REF!</definedName>
    <definedName name="VCEL6" localSheetId="0">[1]BASE!$D$283</definedName>
    <definedName name="VCEL6" localSheetId="1">[1]BASE!$D$283</definedName>
    <definedName name="VCEL6">[1]BASE!$D$283</definedName>
    <definedName name="VCEL8" localSheetId="5">'[8]BASE ORIGINAL'!#REF!</definedName>
    <definedName name="VCEL8" localSheetId="6">'[8]BASE ORIGINAL'!#REF!</definedName>
    <definedName name="VCEL8" localSheetId="0">'[9]BASE ORIGINAL'!#REF!</definedName>
    <definedName name="VCEL8">'[8]BASE ORIGINAL'!#REF!</definedName>
    <definedName name="VCELA2" localSheetId="5">#REF!</definedName>
    <definedName name="VCELA2" localSheetId="6">#REF!</definedName>
    <definedName name="VCELA2" localSheetId="0">[2]BASE!$D$419</definedName>
    <definedName name="VCELA2">#REF!</definedName>
    <definedName name="VCELA3" localSheetId="5">#REF!</definedName>
    <definedName name="VCELA3" localSheetId="6">#REF!</definedName>
    <definedName name="VCELA3" localSheetId="0">[70]BASE!$D$443</definedName>
    <definedName name="VCELA3">#REF!</definedName>
    <definedName name="VCELA4" localSheetId="5">#REF!</definedName>
    <definedName name="VCELA4" localSheetId="6">#REF!</definedName>
    <definedName name="VCELA4" localSheetId="0">[2]BASE!$D$417</definedName>
    <definedName name="VCELA4">#REF!</definedName>
    <definedName name="VCELA6" localSheetId="5">#REF!</definedName>
    <definedName name="VCELA6" localSheetId="6">#REF!</definedName>
    <definedName name="VCELA6">#REF!</definedName>
    <definedName name="VCEVNAEL3" localSheetId="10">[32]BASE!$D$593</definedName>
    <definedName name="VCEVNAEL3">[32]BASE!$D$593</definedName>
    <definedName name="VCHE12" localSheetId="5">#REF!</definedName>
    <definedName name="VCHE12" localSheetId="6">#REF!</definedName>
    <definedName name="VCHE12">#REF!</definedName>
    <definedName name="VCSBVNAEL2" localSheetId="5">[33]BASE!$D$644</definedName>
    <definedName name="VCSBVNAEL2" localSheetId="6">[33]BASE!$D$644</definedName>
    <definedName name="VCSBVNAEL2" localSheetId="0">[33]BASE!$D$644</definedName>
    <definedName name="VCSBVNAEL2">[33]BASE!$D$644</definedName>
    <definedName name="VCSBVNAEL3" localSheetId="5">[33]BASE!$D$645</definedName>
    <definedName name="VCSBVNAEL3" localSheetId="6">[33]BASE!$D$645</definedName>
    <definedName name="VCSBVNAEL3" localSheetId="0">[33]BASE!$D$645</definedName>
    <definedName name="VCSBVNAEL3">[33]BASE!$D$645</definedName>
    <definedName name="VENTI" localSheetId="0">[1]BASE!$D$258</definedName>
    <definedName name="VENTI" localSheetId="1">[1]BASE!$D$258</definedName>
    <definedName name="VENTI">[1]BASE!$D$258</definedName>
    <definedName name="VERT" localSheetId="5">#N/A</definedName>
    <definedName name="VERT" localSheetId="6">#N/A</definedName>
    <definedName name="VERT" localSheetId="0">#N/A</definedName>
    <definedName name="VERT">#N/A</definedName>
    <definedName name="VIAJE" localSheetId="0">[1]BASE!$D$334</definedName>
    <definedName name="VIAJE" localSheetId="1">[1]BASE!$D$334</definedName>
    <definedName name="VIAJE">[1]BASE!$D$334</definedName>
    <definedName name="VIBGA" localSheetId="0">[1]BASE!$D$311</definedName>
    <definedName name="VIBGA" localSheetId="1">[1]BASE!$D$311</definedName>
    <definedName name="VIBGA">[1]BASE!$D$311</definedName>
    <definedName name="VIBRCOM" localSheetId="5">#REF!</definedName>
    <definedName name="VIBRCOM" localSheetId="6">#REF!</definedName>
    <definedName name="VIBRCOM" localSheetId="0">[2]BASE!$D$444</definedName>
    <definedName name="VIBRCOM">#REF!</definedName>
    <definedName name="VIBRE" localSheetId="0">[1]BASE!$D$312</definedName>
    <definedName name="VIBRE" localSheetId="1">[1]BASE!$D$312</definedName>
    <definedName name="VIBRE">[1]BASE!$D$312</definedName>
    <definedName name="VIDRI" localSheetId="0">[1]BASE!$D$259</definedName>
    <definedName name="VIDRI" localSheetId="1">[1]BASE!$D$259</definedName>
    <definedName name="VIDRI">[1]BASE!$D$259</definedName>
    <definedName name="viscosidad" localSheetId="0">#REF!</definedName>
    <definedName name="viscosidad">#REF!</definedName>
    <definedName name="VOLQUET" localSheetId="5">#REF!</definedName>
    <definedName name="VOLQUET" localSheetId="6">#REF!</definedName>
    <definedName name="VOLQUET" localSheetId="0">[2]BASE!$D$446</definedName>
    <definedName name="VOLQUET">#REF!</definedName>
    <definedName name="VPVC2" localSheetId="5">#REF!</definedName>
    <definedName name="VPVC2" localSheetId="6">#REF!</definedName>
    <definedName name="VPVC2" localSheetId="0">[2]BASE!$D$421</definedName>
    <definedName name="VPVC2">#REF!</definedName>
    <definedName name="VVV">[45]BASE!$C$3</definedName>
    <definedName name="wvu.ComparEneMar9697."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x" localSheetId="5">#REF!</definedName>
    <definedName name="x" localSheetId="6">#REF!</definedName>
    <definedName name="x" localSheetId="0">[73]BASE!$D$8</definedName>
    <definedName name="x">#REF!</definedName>
    <definedName name="Y22EL" localSheetId="5">#REF!</definedName>
    <definedName name="Y22EL" localSheetId="6">#REF!</definedName>
    <definedName name="Y22EL" localSheetId="0">[2]BASE!$D$324</definedName>
    <definedName name="Y22EL">#REF!</definedName>
    <definedName name="Y22JH" localSheetId="5">#REF!</definedName>
    <definedName name="Y22JH" localSheetId="6">#REF!</definedName>
    <definedName name="Y22JH">#REF!</definedName>
    <definedName name="Y32JH" localSheetId="5">#REF!</definedName>
    <definedName name="Y32JH" localSheetId="6">#REF!</definedName>
    <definedName name="Y32JH" localSheetId="0">[2]BASE!$D$327</definedName>
    <definedName name="Y32JH">#REF!</definedName>
    <definedName name="Y33JH" localSheetId="5">#REF!</definedName>
    <definedName name="Y33JH" localSheetId="6">#REF!</definedName>
    <definedName name="Y33JH" localSheetId="0">[2]BASE!$D$326</definedName>
    <definedName name="Y33JH">#REF!</definedName>
    <definedName name="Y42JH" localSheetId="5">#REF!</definedName>
    <definedName name="Y42JH" localSheetId="6">#REF!</definedName>
    <definedName name="Y42JH" localSheetId="0">[2]BASE!$D$328</definedName>
    <definedName name="Y42JH">#REF!</definedName>
    <definedName name="Y43JH" localSheetId="5">#REF!</definedName>
    <definedName name="Y43JH" localSheetId="6">#REF!</definedName>
    <definedName name="Y43JH" localSheetId="0">[2]BASE!$D$329</definedName>
    <definedName name="Y43JH">#REF!</definedName>
    <definedName name="Y44EL" localSheetId="5">#REF!</definedName>
    <definedName name="Y44EL" localSheetId="6">#REF!</definedName>
    <definedName name="Y44EL" localSheetId="0">[2]BASE!$D$330</definedName>
    <definedName name="Y44EL">#REF!</definedName>
    <definedName name="Y44JH" localSheetId="5">#REF!</definedName>
    <definedName name="Y44JH" localSheetId="6">#REF!</definedName>
    <definedName name="Y44JH" localSheetId="0">[2]BASE!$D$331</definedName>
    <definedName name="Y44JH">#REF!</definedName>
    <definedName name="YUYYYY" localSheetId="5">#REF!</definedName>
    <definedName name="YUYYYY" localSheetId="6">#REF!</definedName>
    <definedName name="YUYYYY" localSheetId="0">#REF!</definedName>
    <definedName name="YUYYYY">#REF!</definedName>
    <definedName name="Z_91E95AE5_DCC2_11D0_8DF1_00805F2A002D_.wvu.Cols" hidden="1">'[50]Seguimiento CSF'!$L$1:$N$65536,'[50]Seguimiento CSF'!$R$1:$BU$65536</definedName>
    <definedName name="Z_91E95AE6_DCC2_11D0_8DF1_00805F2A002D_.wvu.Cols" hidden="1">'[50]Seguimiento CSF'!$L$1:$N$65536,'[50]Seguimiento CSF'!$Q$1:$AD$65536</definedName>
    <definedName name="Z_91E95AE6_DCC2_11D0_8DF1_00805F2A002D_.wvu.Rows" localSheetId="0" hidden="1">'[50]Seguimiento CSF'!#REF!,'[50]Seguimiento CSF'!#REF!</definedName>
    <definedName name="Z_91E95AE6_DCC2_11D0_8DF1_00805F2A002D_.wvu.Rows" hidden="1">'[50]Seguimiento CSF'!#REF!,'[50]Seguimiento CSF'!#REF!</definedName>
    <definedName name="Z_91E95AE7_DCC2_11D0_8DF1_00805F2A002D_.wvu.Cols" hidden="1">'[50]Resumen MES OPEF'!$C$1:$C$65536,'[50]Resumen MES OPEF'!$N$1:$N$65536,'[50]Resumen MES OPEF'!$Y$1:$Y$65536,'[50]Resumen MES OPEF'!$AL$1:$AL$65536,'[50]Resumen MES OPEF'!$AV$1:$AV$65536,'[50]Resumen MES OPEF'!$BG$1:$BG$65536,'[50]Resumen MES OPEF'!$BR$1:$BR$65536,'[50]Resumen MES OPEF'!$CC$1:$CC$65536</definedName>
    <definedName name="Z_91E95AE8_DCC2_11D0_8DF1_00805F2A002D_.wvu.Cols" hidden="1">'[50]Seguimiento CSF'!$L$1:$N$65536,'[50]Seguimiento CSF'!$R$1:$AD$65536,'[50]Seguimiento CSF'!$AY$1:$AY$65536,'[50]Seguimiento CSF'!$BH$1:$BH$65536,'[50]Seguimiento CSF'!$BQ$1:$BQ$65536</definedName>
    <definedName name="Z_91E95AE9_DCC2_11D0_8DF1_00805F2A002D_.wvu.Cols" hidden="1">'[50]Seguimiento CSF'!$L$1:$N$65536,'[50]Seguimiento CSF'!$R$1:$AD$65536,'[50]Seguimiento CSF'!$AH$1:$AY$65536,'[50]Seguimiento CSF'!$BA$1:$BH$65536,'[50]Seguimiento CSF'!$BJ$1:$BQ$65536,'[50]Seguimiento CSF'!$BS$1:$CF$65536</definedName>
    <definedName name="Z_91E95AEB_DCC2_11D0_8DF1_00805F2A002D_.wvu.Cols" hidden="1">'[50]Resumen OPEF'!$E$1:$J$65536,'[50]Resumen OPEF'!$M$1:$Q$65536</definedName>
    <definedName name="Z_91E95AEC_DCC2_11D0_8DF1_00805F2A002D_.wvu.Cols" hidden="1">'[50]Resumen OPEF'!$C$1:$C$65536,'[50]Resumen OPEF'!$E$1:$E$65536,'[50]Resumen OPEF'!$H$1:$I$65536,'[50]Resumen OPEF'!$K$1:$L$65536,'[50]Resumen OPEF'!$O$1:$O$65536</definedName>
    <definedName name="zonificacion" localSheetId="5">'[2]base de datos'!$G$14:$G$33</definedName>
    <definedName name="zonificacion" localSheetId="6">'[2]base de datos'!$G$14:$G$33</definedName>
    <definedName name="zonificacion" localSheetId="0">'[65]base de datos'!$G$14:$G$33</definedName>
    <definedName name="zonificacion">'[2]base de datos'!$G$14:$G$33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14" i="34" l="1"/>
  <c r="AB115" i="34" l="1"/>
  <c r="I36" i="20" l="1"/>
  <c r="N37" i="20"/>
  <c r="BW22" i="20"/>
  <c r="L59" i="35" l="1"/>
  <c r="L64" i="35"/>
  <c r="L118" i="35"/>
  <c r="L70" i="35"/>
  <c r="L126" i="35"/>
  <c r="B18" i="35" l="1"/>
  <c r="M3" i="43"/>
  <c r="D2" i="34" s="1"/>
  <c r="BW7" i="20"/>
  <c r="BW8" i="20"/>
  <c r="BW9" i="20"/>
  <c r="BW10" i="20"/>
  <c r="BW11" i="20"/>
  <c r="BW12" i="20"/>
  <c r="BW13" i="20"/>
  <c r="BW14" i="20"/>
  <c r="BW15" i="20"/>
  <c r="BW16" i="20"/>
  <c r="BW17" i="20"/>
  <c r="BW18" i="20"/>
  <c r="BW19" i="20"/>
  <c r="BW20" i="20"/>
  <c r="BW21" i="20"/>
  <c r="BW23" i="20"/>
  <c r="BW24" i="20"/>
  <c r="BW25" i="20"/>
  <c r="BW26" i="20"/>
  <c r="BW27" i="20"/>
  <c r="BW28" i="20"/>
  <c r="BW29" i="20"/>
  <c r="BW30" i="20"/>
  <c r="BW31" i="20"/>
  <c r="BW32" i="20"/>
  <c r="BW33" i="20"/>
  <c r="BW34" i="20"/>
  <c r="BW35" i="20"/>
  <c r="CD6" i="20"/>
  <c r="CD36" i="20" s="1"/>
  <c r="CC6" i="20"/>
  <c r="CB6" i="20"/>
  <c r="CA6" i="20"/>
  <c r="BZ6" i="20"/>
  <c r="BZ36" i="20" s="1"/>
  <c r="BY6" i="20"/>
  <c r="BX6" i="20"/>
  <c r="BW6" i="20"/>
  <c r="C7" i="20"/>
  <c r="C8" i="20" s="1"/>
  <c r="C9" i="20" s="1"/>
  <c r="C10" i="20" s="1"/>
  <c r="B17" i="35"/>
  <c r="C7" i="30" s="1"/>
  <c r="BY36" i="20" l="1"/>
  <c r="CC36" i="20"/>
  <c r="BW36" i="20"/>
  <c r="CA36" i="20"/>
  <c r="BX36" i="20"/>
  <c r="CB36" i="20"/>
  <c r="C11" i="20"/>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M7" i="43"/>
  <c r="C5" i="30" s="1"/>
  <c r="F11" i="18" l="1"/>
  <c r="J36" i="20"/>
  <c r="Q7" i="20"/>
  <c r="Q8" i="20"/>
  <c r="Q9" i="20"/>
  <c r="Q10" i="20"/>
  <c r="Q11" i="20"/>
  <c r="Q12" i="20"/>
  <c r="Q13" i="20"/>
  <c r="Q14" i="20"/>
  <c r="Q15" i="20"/>
  <c r="Q16" i="20"/>
  <c r="Q17" i="20"/>
  <c r="Q18" i="20"/>
  <c r="Q19" i="20"/>
  <c r="Q20" i="20"/>
  <c r="Q21" i="20"/>
  <c r="Q22" i="20"/>
  <c r="Q23" i="20"/>
  <c r="Q24" i="20"/>
  <c r="Q25" i="20"/>
  <c r="Q26" i="20"/>
  <c r="Q27" i="20"/>
  <c r="Q28" i="20"/>
  <c r="Q29" i="20"/>
  <c r="Q30" i="20"/>
  <c r="Q31" i="20"/>
  <c r="Q32" i="20"/>
  <c r="Q33" i="20"/>
  <c r="Q34" i="20"/>
  <c r="Q35" i="20"/>
  <c r="Q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6" i="20"/>
  <c r="BU35" i="20"/>
  <c r="BU7" i="20"/>
  <c r="BU8" i="20"/>
  <c r="BU9" i="20"/>
  <c r="BU10" i="20"/>
  <c r="BU11" i="20"/>
  <c r="BU12" i="20"/>
  <c r="BU13" i="20"/>
  <c r="BU14" i="20"/>
  <c r="BU15" i="20"/>
  <c r="BU16" i="20"/>
  <c r="BU17" i="20"/>
  <c r="BU18" i="20"/>
  <c r="BU19" i="20"/>
  <c r="BU20" i="20"/>
  <c r="BU21" i="20"/>
  <c r="BU23" i="20"/>
  <c r="BU24" i="20"/>
  <c r="BU25" i="20"/>
  <c r="BU26" i="20"/>
  <c r="BU27" i="20"/>
  <c r="BU28" i="20"/>
  <c r="BU29" i="20"/>
  <c r="BU30" i="20"/>
  <c r="BU31" i="20"/>
  <c r="BU32" i="20"/>
  <c r="BU33" i="20"/>
  <c r="BU34" i="20"/>
  <c r="BJ35" i="20"/>
  <c r="BJ7" i="20"/>
  <c r="BJ8" i="20"/>
  <c r="BJ9" i="20"/>
  <c r="BJ10" i="20"/>
  <c r="BJ11" i="20"/>
  <c r="BJ12" i="20"/>
  <c r="BJ13" i="20"/>
  <c r="BJ14" i="20"/>
  <c r="BJ15" i="20"/>
  <c r="BJ16" i="20"/>
  <c r="BJ17" i="20"/>
  <c r="BJ18" i="20"/>
  <c r="BJ19" i="20"/>
  <c r="BJ20" i="20"/>
  <c r="BJ21" i="20"/>
  <c r="BJ22" i="20"/>
  <c r="BJ23" i="20"/>
  <c r="BJ24" i="20"/>
  <c r="BJ25" i="20"/>
  <c r="BJ26" i="20"/>
  <c r="BJ27" i="20"/>
  <c r="BJ28" i="20"/>
  <c r="BJ29" i="20"/>
  <c r="BJ30" i="20"/>
  <c r="BJ31" i="20"/>
  <c r="BJ32" i="20"/>
  <c r="BJ33" i="20"/>
  <c r="BJ34" i="20"/>
  <c r="S35" i="20"/>
  <c r="T35" i="20"/>
  <c r="U35" i="20"/>
  <c r="V35" i="20"/>
  <c r="W35" i="20"/>
  <c r="S7" i="20"/>
  <c r="T7" i="20"/>
  <c r="U7" i="20"/>
  <c r="V7" i="20"/>
  <c r="W7" i="20"/>
  <c r="S8" i="20"/>
  <c r="T8" i="20"/>
  <c r="U8" i="20"/>
  <c r="V8" i="20"/>
  <c r="W8" i="20"/>
  <c r="S9" i="20"/>
  <c r="T9" i="20"/>
  <c r="U9" i="20"/>
  <c r="V9" i="20"/>
  <c r="W9" i="20"/>
  <c r="S10" i="20"/>
  <c r="T10" i="20"/>
  <c r="U10" i="20"/>
  <c r="V10" i="20"/>
  <c r="W10" i="20"/>
  <c r="S11" i="20"/>
  <c r="T11" i="20"/>
  <c r="U11" i="20"/>
  <c r="V11" i="20"/>
  <c r="W11" i="20"/>
  <c r="S12" i="20"/>
  <c r="T12" i="20"/>
  <c r="U12" i="20"/>
  <c r="V12" i="20"/>
  <c r="W12" i="20"/>
  <c r="S13" i="20"/>
  <c r="T13" i="20"/>
  <c r="U13" i="20"/>
  <c r="V13" i="20"/>
  <c r="W13" i="20"/>
  <c r="S14" i="20"/>
  <c r="T14" i="20"/>
  <c r="U14" i="20"/>
  <c r="V14" i="20"/>
  <c r="W14" i="20"/>
  <c r="S15" i="20"/>
  <c r="T15" i="20"/>
  <c r="U15" i="20"/>
  <c r="V15" i="20"/>
  <c r="W15" i="20"/>
  <c r="S16" i="20"/>
  <c r="T16" i="20"/>
  <c r="U16" i="20"/>
  <c r="V16" i="20"/>
  <c r="W16" i="20"/>
  <c r="S17" i="20"/>
  <c r="T17" i="20"/>
  <c r="U17" i="20"/>
  <c r="V17" i="20"/>
  <c r="W17" i="20"/>
  <c r="S18" i="20"/>
  <c r="T18" i="20"/>
  <c r="U18" i="20"/>
  <c r="V18" i="20"/>
  <c r="W18" i="20"/>
  <c r="S19" i="20"/>
  <c r="T19" i="20"/>
  <c r="U19" i="20"/>
  <c r="V19" i="20"/>
  <c r="W19" i="20"/>
  <c r="S20" i="20"/>
  <c r="T20" i="20"/>
  <c r="U20" i="20"/>
  <c r="V20" i="20"/>
  <c r="W20" i="20"/>
  <c r="S21" i="20"/>
  <c r="T21" i="20"/>
  <c r="U21" i="20"/>
  <c r="V21" i="20"/>
  <c r="W21" i="20"/>
  <c r="S22" i="20"/>
  <c r="T22" i="20"/>
  <c r="U22" i="20"/>
  <c r="V22" i="20"/>
  <c r="W22" i="20"/>
  <c r="S23" i="20"/>
  <c r="T23" i="20"/>
  <c r="U23" i="20"/>
  <c r="V23" i="20"/>
  <c r="W23" i="20"/>
  <c r="S24" i="20"/>
  <c r="T24" i="20"/>
  <c r="U24" i="20"/>
  <c r="V24" i="20"/>
  <c r="W24" i="20"/>
  <c r="S25" i="20"/>
  <c r="T25" i="20"/>
  <c r="U25" i="20"/>
  <c r="V25" i="20"/>
  <c r="W25" i="20"/>
  <c r="S26" i="20"/>
  <c r="T26" i="20"/>
  <c r="U26" i="20"/>
  <c r="V26" i="20"/>
  <c r="W26" i="20"/>
  <c r="S27" i="20"/>
  <c r="T27" i="20"/>
  <c r="U27" i="20"/>
  <c r="V27" i="20"/>
  <c r="W27" i="20"/>
  <c r="S28" i="20"/>
  <c r="T28" i="20"/>
  <c r="U28" i="20"/>
  <c r="V28" i="20"/>
  <c r="W28" i="20"/>
  <c r="S29" i="20"/>
  <c r="T29" i="20"/>
  <c r="U29" i="20"/>
  <c r="V29" i="20"/>
  <c r="W29" i="20"/>
  <c r="S30" i="20"/>
  <c r="T30" i="20"/>
  <c r="U30" i="20"/>
  <c r="V30" i="20"/>
  <c r="W30" i="20"/>
  <c r="S31" i="20"/>
  <c r="T31" i="20"/>
  <c r="U31" i="20"/>
  <c r="V31" i="20"/>
  <c r="W31" i="20"/>
  <c r="S32" i="20"/>
  <c r="T32" i="20"/>
  <c r="U32" i="20"/>
  <c r="V32" i="20"/>
  <c r="W32" i="20"/>
  <c r="S33" i="20"/>
  <c r="T33" i="20"/>
  <c r="U33" i="20"/>
  <c r="V33" i="20"/>
  <c r="W33" i="20"/>
  <c r="S34" i="20"/>
  <c r="T34" i="20"/>
  <c r="U34" i="20"/>
  <c r="V34" i="20"/>
  <c r="W34" i="20"/>
  <c r="R35" i="20"/>
  <c r="R11" i="20"/>
  <c r="R12" i="20"/>
  <c r="R13" i="20"/>
  <c r="R14" i="20"/>
  <c r="R15" i="20"/>
  <c r="R16" i="20"/>
  <c r="R17" i="20"/>
  <c r="R18" i="20"/>
  <c r="R19" i="20"/>
  <c r="R20" i="20"/>
  <c r="R21" i="20"/>
  <c r="R22" i="20"/>
  <c r="R23" i="20"/>
  <c r="R24" i="20"/>
  <c r="R25" i="20"/>
  <c r="R26" i="20"/>
  <c r="R27" i="20"/>
  <c r="R28" i="20"/>
  <c r="R29" i="20"/>
  <c r="R30" i="20"/>
  <c r="R31" i="20"/>
  <c r="R32" i="20"/>
  <c r="R33" i="20"/>
  <c r="R34" i="20"/>
  <c r="F36" i="20"/>
  <c r="N45" i="20" s="1"/>
  <c r="E36" i="20"/>
  <c r="R7" i="20"/>
  <c r="R8" i="20"/>
  <c r="R9" i="20"/>
  <c r="R10" i="20"/>
  <c r="BJ6" i="20"/>
  <c r="G4" i="42"/>
  <c r="P36" i="20" l="1"/>
  <c r="Q37" i="20" s="1"/>
  <c r="BN10" i="20"/>
  <c r="BB10" i="20"/>
  <c r="AS10" i="20"/>
  <c r="AJ10" i="20"/>
  <c r="AA10" i="20"/>
  <c r="BN9" i="20"/>
  <c r="BB9" i="20"/>
  <c r="AS9" i="20"/>
  <c r="AJ9" i="20"/>
  <c r="AA9" i="20"/>
  <c r="BM9" i="20"/>
  <c r="BA9" i="20"/>
  <c r="AR9" i="20"/>
  <c r="AI9" i="20"/>
  <c r="Z9" i="20"/>
  <c r="BN8" i="20"/>
  <c r="BB8" i="20"/>
  <c r="AS8" i="20"/>
  <c r="AJ8" i="20"/>
  <c r="AA8" i="20"/>
  <c r="BM8" i="20"/>
  <c r="BA8" i="20"/>
  <c r="AR8" i="20"/>
  <c r="AI8" i="20"/>
  <c r="Z8" i="20"/>
  <c r="BN7" i="20"/>
  <c r="BB7" i="20"/>
  <c r="AS7" i="20"/>
  <c r="AJ7" i="20"/>
  <c r="AA7" i="20"/>
  <c r="BM7" i="20"/>
  <c r="BA7" i="20"/>
  <c r="AR7" i="20"/>
  <c r="AI7" i="20"/>
  <c r="Z7" i="20"/>
  <c r="BL34" i="20"/>
  <c r="AZ34" i="20"/>
  <c r="AQ34" i="20"/>
  <c r="AH34" i="20"/>
  <c r="Y34" i="20"/>
  <c r="BL33" i="20"/>
  <c r="AZ33" i="20"/>
  <c r="AQ33" i="20"/>
  <c r="AH33" i="20"/>
  <c r="Y33" i="20"/>
  <c r="BL32" i="20"/>
  <c r="AZ32" i="20"/>
  <c r="AQ32" i="20"/>
  <c r="AH32" i="20"/>
  <c r="Y32" i="20"/>
  <c r="BL31" i="20"/>
  <c r="AZ31" i="20"/>
  <c r="AQ31" i="20"/>
  <c r="AH31" i="20"/>
  <c r="Y31" i="20"/>
  <c r="BL30" i="20"/>
  <c r="AZ30" i="20"/>
  <c r="AQ30" i="20"/>
  <c r="AH30" i="20"/>
  <c r="Y30" i="20"/>
  <c r="BL29" i="20"/>
  <c r="AZ29" i="20"/>
  <c r="AQ29" i="20"/>
  <c r="AH29" i="20"/>
  <c r="Y29" i="20"/>
  <c r="BL28" i="20"/>
  <c r="AZ28" i="20"/>
  <c r="AQ28" i="20"/>
  <c r="AH28" i="20"/>
  <c r="Y28" i="20"/>
  <c r="BL27" i="20"/>
  <c r="AZ27" i="20"/>
  <c r="AQ27" i="20"/>
  <c r="AH27" i="20"/>
  <c r="Y27" i="20"/>
  <c r="BL26" i="20"/>
  <c r="AZ26" i="20"/>
  <c r="AQ26" i="20"/>
  <c r="AH26" i="20"/>
  <c r="Y26" i="20"/>
  <c r="BL25" i="20"/>
  <c r="AZ25" i="20"/>
  <c r="AQ25" i="20"/>
  <c r="AH25" i="20"/>
  <c r="Y25" i="20"/>
  <c r="BL24" i="20"/>
  <c r="AZ24" i="20"/>
  <c r="AQ24" i="20"/>
  <c r="AH24" i="20"/>
  <c r="Y24" i="20"/>
  <c r="BL23" i="20"/>
  <c r="AZ23" i="20"/>
  <c r="AQ23" i="20"/>
  <c r="AH23" i="20"/>
  <c r="Y23" i="20"/>
  <c r="BL22" i="20"/>
  <c r="AZ22" i="20"/>
  <c r="AQ22" i="20"/>
  <c r="AH22" i="20"/>
  <c r="Y22" i="20"/>
  <c r="BL21" i="20"/>
  <c r="AZ21" i="20"/>
  <c r="AQ21" i="20"/>
  <c r="AH21" i="20"/>
  <c r="Y21" i="20"/>
  <c r="BL20" i="20"/>
  <c r="AZ20" i="20"/>
  <c r="AQ20" i="20"/>
  <c r="AH20" i="20"/>
  <c r="Y20" i="20"/>
  <c r="BL19" i="20"/>
  <c r="AZ19" i="20"/>
  <c r="AQ19" i="20"/>
  <c r="AH19" i="20"/>
  <c r="Y19" i="20"/>
  <c r="BL18" i="20"/>
  <c r="AZ18" i="20"/>
  <c r="AQ18" i="20"/>
  <c r="AH18" i="20"/>
  <c r="Y18" i="20"/>
  <c r="BL17" i="20"/>
  <c r="AZ17" i="20"/>
  <c r="AQ17" i="20"/>
  <c r="AH17" i="20"/>
  <c r="Y17" i="20"/>
  <c r="BL16" i="20"/>
  <c r="AZ16" i="20"/>
  <c r="AQ16" i="20"/>
  <c r="AH16" i="20"/>
  <c r="Y16" i="20"/>
  <c r="BL15" i="20"/>
  <c r="AZ15" i="20"/>
  <c r="AQ15" i="20"/>
  <c r="AH15" i="20"/>
  <c r="Y15" i="20"/>
  <c r="BL14" i="20"/>
  <c r="AZ14" i="20"/>
  <c r="AQ14" i="20"/>
  <c r="AH14" i="20"/>
  <c r="Y14" i="20"/>
  <c r="BL13" i="20"/>
  <c r="AZ13" i="20"/>
  <c r="AQ13" i="20"/>
  <c r="AH13" i="20"/>
  <c r="Y13" i="20"/>
  <c r="BL12" i="20"/>
  <c r="AZ12" i="20"/>
  <c r="AQ12" i="20"/>
  <c r="AH12" i="20"/>
  <c r="Y12" i="20"/>
  <c r="BL11" i="20"/>
  <c r="AZ11" i="20"/>
  <c r="AQ11" i="20"/>
  <c r="AH11" i="20"/>
  <c r="Y11" i="20"/>
  <c r="BL10" i="20"/>
  <c r="AZ10" i="20"/>
  <c r="AQ10" i="20"/>
  <c r="AH10" i="20"/>
  <c r="Y10" i="20"/>
  <c r="BL9" i="20"/>
  <c r="AZ9" i="20"/>
  <c r="AQ9" i="20"/>
  <c r="AH9" i="20"/>
  <c r="Y9" i="20"/>
  <c r="BL8" i="20"/>
  <c r="AZ8" i="20"/>
  <c r="AQ8" i="20"/>
  <c r="AH8" i="20"/>
  <c r="Y8" i="20"/>
  <c r="BL7" i="20"/>
  <c r="AZ7" i="20"/>
  <c r="AQ7" i="20"/>
  <c r="AH7" i="20"/>
  <c r="Y7" i="20"/>
  <c r="BL35" i="20"/>
  <c r="AZ35" i="20"/>
  <c r="AQ35" i="20"/>
  <c r="AH35" i="20"/>
  <c r="Y35" i="20"/>
  <c r="BM34" i="20"/>
  <c r="BA34" i="20"/>
  <c r="AR34" i="20"/>
  <c r="AI34" i="20"/>
  <c r="Z34" i="20"/>
  <c r="BM33" i="20"/>
  <c r="BA33" i="20"/>
  <c r="AR33" i="20"/>
  <c r="AI33" i="20"/>
  <c r="Z33" i="20"/>
  <c r="BM32" i="20"/>
  <c r="BA32" i="20"/>
  <c r="AR32" i="20"/>
  <c r="AI32" i="20"/>
  <c r="Z32" i="20"/>
  <c r="BM31" i="20"/>
  <c r="BA31" i="20"/>
  <c r="AR31" i="20"/>
  <c r="AI31" i="20"/>
  <c r="Z31" i="20"/>
  <c r="BM30" i="20"/>
  <c r="BA30" i="20"/>
  <c r="AR30" i="20"/>
  <c r="AI30" i="20"/>
  <c r="Z30" i="20"/>
  <c r="BM29" i="20"/>
  <c r="BA29" i="20"/>
  <c r="AR29" i="20"/>
  <c r="AI29" i="20"/>
  <c r="Z29" i="20"/>
  <c r="BM28" i="20"/>
  <c r="BA28" i="20"/>
  <c r="AR28" i="20"/>
  <c r="AI28" i="20"/>
  <c r="Z28" i="20"/>
  <c r="BM27" i="20"/>
  <c r="BA27" i="20"/>
  <c r="AR27" i="20"/>
  <c r="AI27" i="20"/>
  <c r="Z27" i="20"/>
  <c r="BM26" i="20"/>
  <c r="BA26" i="20"/>
  <c r="AR26" i="20"/>
  <c r="AI26" i="20"/>
  <c r="Z26" i="20"/>
  <c r="BM25" i="20"/>
  <c r="BA25" i="20"/>
  <c r="AR25" i="20"/>
  <c r="AI25" i="20"/>
  <c r="Z25" i="20"/>
  <c r="BM24" i="20"/>
  <c r="BA24" i="20"/>
  <c r="AR24" i="20"/>
  <c r="AI24" i="20"/>
  <c r="Z24" i="20"/>
  <c r="BM23" i="20"/>
  <c r="BA23" i="20"/>
  <c r="AR23" i="20"/>
  <c r="AI23" i="20"/>
  <c r="Z23" i="20"/>
  <c r="BM22" i="20"/>
  <c r="BA22" i="20"/>
  <c r="AR22" i="20"/>
  <c r="AI22" i="20"/>
  <c r="Z22" i="20"/>
  <c r="BM21" i="20"/>
  <c r="BA21" i="20"/>
  <c r="AR21" i="20"/>
  <c r="AI21" i="20"/>
  <c r="Z21" i="20"/>
  <c r="BM20" i="20"/>
  <c r="BA20" i="20"/>
  <c r="AR20" i="20"/>
  <c r="AI20" i="20"/>
  <c r="Z20" i="20"/>
  <c r="BM19" i="20"/>
  <c r="BA19" i="20"/>
  <c r="AR19" i="20"/>
  <c r="AI19" i="20"/>
  <c r="Z19" i="20"/>
  <c r="BM18" i="20"/>
  <c r="BA18" i="20"/>
  <c r="AR18" i="20"/>
  <c r="AI18" i="20"/>
  <c r="Z18" i="20"/>
  <c r="BM17" i="20"/>
  <c r="BA17" i="20"/>
  <c r="AR17" i="20"/>
  <c r="AI17" i="20"/>
  <c r="Z17" i="20"/>
  <c r="BM16" i="20"/>
  <c r="BA16" i="20"/>
  <c r="AR16" i="20"/>
  <c r="AI16" i="20"/>
  <c r="Z16" i="20"/>
  <c r="BM15" i="20"/>
  <c r="BA15" i="20"/>
  <c r="AR15" i="20"/>
  <c r="AI15" i="20"/>
  <c r="Z15" i="20"/>
  <c r="BM14" i="20"/>
  <c r="BA14" i="20"/>
  <c r="AR14" i="20"/>
  <c r="AI14" i="20"/>
  <c r="Z14" i="20"/>
  <c r="BM13" i="20"/>
  <c r="BA13" i="20"/>
  <c r="AR13" i="20"/>
  <c r="AI13" i="20"/>
  <c r="Z13" i="20"/>
  <c r="BM12" i="20"/>
  <c r="BA12" i="20"/>
  <c r="AR12" i="20"/>
  <c r="AI12" i="20"/>
  <c r="Z12" i="20"/>
  <c r="BM11" i="20"/>
  <c r="BA11" i="20"/>
  <c r="AR11" i="20"/>
  <c r="AI11" i="20"/>
  <c r="Z11" i="20"/>
  <c r="BM10" i="20"/>
  <c r="BA10" i="20"/>
  <c r="AR10" i="20"/>
  <c r="AI10" i="20"/>
  <c r="Z10" i="20"/>
  <c r="BM35" i="20"/>
  <c r="BA35" i="20"/>
  <c r="AR35" i="20"/>
  <c r="AI35" i="20"/>
  <c r="Z35" i="20"/>
  <c r="BN34" i="20"/>
  <c r="BB34" i="20"/>
  <c r="AS34" i="20"/>
  <c r="AJ34" i="20"/>
  <c r="AA34" i="20"/>
  <c r="BN33" i="20"/>
  <c r="BB33" i="20"/>
  <c r="AS33" i="20"/>
  <c r="AJ33" i="20"/>
  <c r="AA33" i="20"/>
  <c r="BN32" i="20"/>
  <c r="BB32" i="20"/>
  <c r="AS32" i="20"/>
  <c r="AJ32" i="20"/>
  <c r="AA32" i="20"/>
  <c r="BN31" i="20"/>
  <c r="BB31" i="20"/>
  <c r="AS31" i="20"/>
  <c r="AJ31" i="20"/>
  <c r="AA31" i="20"/>
  <c r="BN30" i="20"/>
  <c r="BB30" i="20"/>
  <c r="AS30" i="20"/>
  <c r="AJ30" i="20"/>
  <c r="AA30" i="20"/>
  <c r="BN29" i="20"/>
  <c r="BB29" i="20"/>
  <c r="AS29" i="20"/>
  <c r="AJ29" i="20"/>
  <c r="AA29" i="20"/>
  <c r="BN28" i="20"/>
  <c r="BB28" i="20"/>
  <c r="AS28" i="20"/>
  <c r="AJ28" i="20"/>
  <c r="AA28" i="20"/>
  <c r="BN27" i="20"/>
  <c r="BB27" i="20"/>
  <c r="AS27" i="20"/>
  <c r="AJ27" i="20"/>
  <c r="AA27" i="20"/>
  <c r="BN26" i="20"/>
  <c r="BB26" i="20"/>
  <c r="AS26" i="20"/>
  <c r="AJ26" i="20"/>
  <c r="AA26" i="20"/>
  <c r="BN25" i="20"/>
  <c r="BB25" i="20"/>
  <c r="AS25" i="20"/>
  <c r="AJ25" i="20"/>
  <c r="AA25" i="20"/>
  <c r="BN24" i="20"/>
  <c r="BB24" i="20"/>
  <c r="AS24" i="20"/>
  <c r="AJ24" i="20"/>
  <c r="AA24" i="20"/>
  <c r="BN23" i="20"/>
  <c r="BB23" i="20"/>
  <c r="AS23" i="20"/>
  <c r="AJ23" i="20"/>
  <c r="AA23" i="20"/>
  <c r="BN22" i="20"/>
  <c r="BB22" i="20"/>
  <c r="AS22" i="20"/>
  <c r="AJ22" i="20"/>
  <c r="AA22" i="20"/>
  <c r="BN21" i="20"/>
  <c r="BB21" i="20"/>
  <c r="AS21" i="20"/>
  <c r="AJ21" i="20"/>
  <c r="AA21" i="20"/>
  <c r="BN20" i="20"/>
  <c r="BB20" i="20"/>
  <c r="AS20" i="20"/>
  <c r="AJ20" i="20"/>
  <c r="AA20" i="20"/>
  <c r="BN19" i="20"/>
  <c r="BB19" i="20"/>
  <c r="AS19" i="20"/>
  <c r="AJ19" i="20"/>
  <c r="AA19" i="20"/>
  <c r="BN18" i="20"/>
  <c r="BB18" i="20"/>
  <c r="AS18" i="20"/>
  <c r="AJ18" i="20"/>
  <c r="AA18" i="20"/>
  <c r="BN17" i="20"/>
  <c r="BB17" i="20"/>
  <c r="AS17" i="20"/>
  <c r="AJ17" i="20"/>
  <c r="AA17" i="20"/>
  <c r="BN16" i="20"/>
  <c r="BB16" i="20"/>
  <c r="AS16" i="20"/>
  <c r="AJ16" i="20"/>
  <c r="AA16" i="20"/>
  <c r="BN15" i="20"/>
  <c r="BB15" i="20"/>
  <c r="AS15" i="20"/>
  <c r="AJ15" i="20"/>
  <c r="AA15" i="20"/>
  <c r="BN14" i="20"/>
  <c r="BB14" i="20"/>
  <c r="AS14" i="20"/>
  <c r="AJ14" i="20"/>
  <c r="AA14" i="20"/>
  <c r="BN13" i="20"/>
  <c r="BB13" i="20"/>
  <c r="AS13" i="20"/>
  <c r="AJ13" i="20"/>
  <c r="AA13" i="20"/>
  <c r="BN12" i="20"/>
  <c r="BB12" i="20"/>
  <c r="AS12" i="20"/>
  <c r="AJ12" i="20"/>
  <c r="AA12" i="20"/>
  <c r="BN11" i="20"/>
  <c r="BB11" i="20"/>
  <c r="AS11" i="20"/>
  <c r="AJ11" i="20"/>
  <c r="AA11" i="20"/>
  <c r="BN35" i="20"/>
  <c r="BB35" i="20"/>
  <c r="AS35" i="20"/>
  <c r="AJ35" i="20"/>
  <c r="AA35" i="20"/>
  <c r="BS34" i="20"/>
  <c r="BG34" i="20"/>
  <c r="AX34" i="20"/>
  <c r="AO34" i="20"/>
  <c r="AF34" i="20"/>
  <c r="BR34" i="20"/>
  <c r="BF34" i="20"/>
  <c r="AW34" i="20"/>
  <c r="AN34" i="20"/>
  <c r="AE34" i="20"/>
  <c r="BQ34" i="20"/>
  <c r="BE34" i="20"/>
  <c r="AV34" i="20"/>
  <c r="AM34" i="20"/>
  <c r="AD34" i="20"/>
  <c r="BP34" i="20"/>
  <c r="BD34" i="20"/>
  <c r="AU34" i="20"/>
  <c r="AL34" i="20"/>
  <c r="AC34" i="20"/>
  <c r="BO34" i="20"/>
  <c r="BC34" i="20"/>
  <c r="AT34" i="20"/>
  <c r="AK34" i="20"/>
  <c r="AB34" i="20"/>
  <c r="BS33" i="20"/>
  <c r="BG33" i="20"/>
  <c r="AX33" i="20"/>
  <c r="AO33" i="20"/>
  <c r="AF33" i="20"/>
  <c r="BR33" i="20"/>
  <c r="BF33" i="20"/>
  <c r="AW33" i="20"/>
  <c r="AN33" i="20"/>
  <c r="AE33" i="20"/>
  <c r="BQ33" i="20"/>
  <c r="BE33" i="20"/>
  <c r="AV33" i="20"/>
  <c r="AM33" i="20"/>
  <c r="AD33" i="20"/>
  <c r="BP33" i="20"/>
  <c r="BD33" i="20"/>
  <c r="AU33" i="20"/>
  <c r="AL33" i="20"/>
  <c r="AC33" i="20"/>
  <c r="BO33" i="20"/>
  <c r="BC33" i="20"/>
  <c r="AT33" i="20"/>
  <c r="AK33" i="20"/>
  <c r="AB33" i="20"/>
  <c r="BS32" i="20"/>
  <c r="BG32" i="20"/>
  <c r="AX32" i="20"/>
  <c r="AO32" i="20"/>
  <c r="AF32" i="20"/>
  <c r="BR32" i="20"/>
  <c r="BF32" i="20"/>
  <c r="AW32" i="20"/>
  <c r="AN32" i="20"/>
  <c r="AE32" i="20"/>
  <c r="BQ32" i="20"/>
  <c r="BE32" i="20"/>
  <c r="AV32" i="20"/>
  <c r="AM32" i="20"/>
  <c r="AD32" i="20"/>
  <c r="BP32" i="20"/>
  <c r="BD32" i="20"/>
  <c r="AU32" i="20"/>
  <c r="AL32" i="20"/>
  <c r="AC32" i="20"/>
  <c r="BO32" i="20"/>
  <c r="BC32" i="20"/>
  <c r="AT32" i="20"/>
  <c r="AK32" i="20"/>
  <c r="AB32" i="20"/>
  <c r="BS31" i="20"/>
  <c r="BG31" i="20"/>
  <c r="AX31" i="20"/>
  <c r="AO31" i="20"/>
  <c r="AF31" i="20"/>
  <c r="BR31" i="20"/>
  <c r="BF31" i="20"/>
  <c r="AW31" i="20"/>
  <c r="AN31" i="20"/>
  <c r="AE31" i="20"/>
  <c r="BQ31" i="20"/>
  <c r="BE31" i="20"/>
  <c r="AV31" i="20"/>
  <c r="AM31" i="20"/>
  <c r="AD31" i="20"/>
  <c r="BP31" i="20"/>
  <c r="BD31" i="20"/>
  <c r="AU31" i="20"/>
  <c r="AL31" i="20"/>
  <c r="AC31" i="20"/>
  <c r="BO31" i="20"/>
  <c r="BC31" i="20"/>
  <c r="AT31" i="20"/>
  <c r="AK31" i="20"/>
  <c r="AB31" i="20"/>
  <c r="BS30" i="20"/>
  <c r="BG30" i="20"/>
  <c r="AX30" i="20"/>
  <c r="AO30" i="20"/>
  <c r="AF30" i="20"/>
  <c r="BR30" i="20"/>
  <c r="BF30" i="20"/>
  <c r="AW30" i="20"/>
  <c r="AN30" i="20"/>
  <c r="AE30" i="20"/>
  <c r="BQ30" i="20"/>
  <c r="BE30" i="20"/>
  <c r="AV30" i="20"/>
  <c r="AM30" i="20"/>
  <c r="AD30" i="20"/>
  <c r="BP30" i="20"/>
  <c r="BD30" i="20"/>
  <c r="AU30" i="20"/>
  <c r="AL30" i="20"/>
  <c r="AC30" i="20"/>
  <c r="BO30" i="20"/>
  <c r="BC30" i="20"/>
  <c r="AT30" i="20"/>
  <c r="AK30" i="20"/>
  <c r="AB30" i="20"/>
  <c r="BS29" i="20"/>
  <c r="BG29" i="20"/>
  <c r="AX29" i="20"/>
  <c r="AO29" i="20"/>
  <c r="AF29" i="20"/>
  <c r="BR29" i="20"/>
  <c r="BF29" i="20"/>
  <c r="AW29" i="20"/>
  <c r="AN29" i="20"/>
  <c r="AE29" i="20"/>
  <c r="BQ29" i="20"/>
  <c r="BE29" i="20"/>
  <c r="AV29" i="20"/>
  <c r="AM29" i="20"/>
  <c r="AD29" i="20"/>
  <c r="BP29" i="20"/>
  <c r="BD29" i="20"/>
  <c r="AU29" i="20"/>
  <c r="AL29" i="20"/>
  <c r="AC29" i="20"/>
  <c r="BO29" i="20"/>
  <c r="BC29" i="20"/>
  <c r="AT29" i="20"/>
  <c r="AK29" i="20"/>
  <c r="AB29" i="20"/>
  <c r="BS28" i="20"/>
  <c r="BG28" i="20"/>
  <c r="AX28" i="20"/>
  <c r="AO28" i="20"/>
  <c r="AF28" i="20"/>
  <c r="BR28" i="20"/>
  <c r="BF28" i="20"/>
  <c r="AW28" i="20"/>
  <c r="AN28" i="20"/>
  <c r="AE28" i="20"/>
  <c r="BQ28" i="20"/>
  <c r="BE28" i="20"/>
  <c r="AV28" i="20"/>
  <c r="AM28" i="20"/>
  <c r="AD28" i="20"/>
  <c r="BP28" i="20"/>
  <c r="BD28" i="20"/>
  <c r="AU28" i="20"/>
  <c r="AL28" i="20"/>
  <c r="AC28" i="20"/>
  <c r="BO28" i="20"/>
  <c r="BC28" i="20"/>
  <c r="AT28" i="20"/>
  <c r="AK28" i="20"/>
  <c r="AB28" i="20"/>
  <c r="BS27" i="20"/>
  <c r="BG27" i="20"/>
  <c r="AX27" i="20"/>
  <c r="AO27" i="20"/>
  <c r="AF27" i="20"/>
  <c r="BR27" i="20"/>
  <c r="BF27" i="20"/>
  <c r="AW27" i="20"/>
  <c r="AN27" i="20"/>
  <c r="AE27" i="20"/>
  <c r="BQ27" i="20"/>
  <c r="BE27" i="20"/>
  <c r="AV27" i="20"/>
  <c r="AM27" i="20"/>
  <c r="AD27" i="20"/>
  <c r="BP27" i="20"/>
  <c r="BD27" i="20"/>
  <c r="AU27" i="20"/>
  <c r="AL27" i="20"/>
  <c r="AC27" i="20"/>
  <c r="BO27" i="20"/>
  <c r="BC27" i="20"/>
  <c r="AT27" i="20"/>
  <c r="AK27" i="20"/>
  <c r="AB27" i="20"/>
  <c r="BS26" i="20"/>
  <c r="BG26" i="20"/>
  <c r="AX26" i="20"/>
  <c r="AO26" i="20"/>
  <c r="AF26" i="20"/>
  <c r="BR26" i="20"/>
  <c r="BF26" i="20"/>
  <c r="AW26" i="20"/>
  <c r="AN26" i="20"/>
  <c r="AE26" i="20"/>
  <c r="BQ26" i="20"/>
  <c r="BE26" i="20"/>
  <c r="AV26" i="20"/>
  <c r="AM26" i="20"/>
  <c r="AD26" i="20"/>
  <c r="BP26" i="20"/>
  <c r="BD26" i="20"/>
  <c r="AU26" i="20"/>
  <c r="AL26" i="20"/>
  <c r="AC26" i="20"/>
  <c r="BO26" i="20"/>
  <c r="BC26" i="20"/>
  <c r="AT26" i="20"/>
  <c r="AK26" i="20"/>
  <c r="AB26" i="20"/>
  <c r="BS25" i="20"/>
  <c r="BG25" i="20"/>
  <c r="AX25" i="20"/>
  <c r="AO25" i="20"/>
  <c r="AF25" i="20"/>
  <c r="BR25" i="20"/>
  <c r="BF25" i="20"/>
  <c r="AW25" i="20"/>
  <c r="AN25" i="20"/>
  <c r="AE25" i="20"/>
  <c r="BQ25" i="20"/>
  <c r="BE25" i="20"/>
  <c r="AV25" i="20"/>
  <c r="AM25" i="20"/>
  <c r="AD25" i="20"/>
  <c r="BP25" i="20"/>
  <c r="BD25" i="20"/>
  <c r="AU25" i="20"/>
  <c r="AL25" i="20"/>
  <c r="AC25" i="20"/>
  <c r="BO25" i="20"/>
  <c r="BC25" i="20"/>
  <c r="AT25" i="20"/>
  <c r="AK25" i="20"/>
  <c r="AB25" i="20"/>
  <c r="BS24" i="20"/>
  <c r="BG24" i="20"/>
  <c r="AX24" i="20"/>
  <c r="AO24" i="20"/>
  <c r="AF24" i="20"/>
  <c r="BR24" i="20"/>
  <c r="BF24" i="20"/>
  <c r="AW24" i="20"/>
  <c r="AN24" i="20"/>
  <c r="AE24" i="20"/>
  <c r="BQ24" i="20"/>
  <c r="BE24" i="20"/>
  <c r="AV24" i="20"/>
  <c r="AM24" i="20"/>
  <c r="AD24" i="20"/>
  <c r="BP24" i="20"/>
  <c r="BD24" i="20"/>
  <c r="AU24" i="20"/>
  <c r="AL24" i="20"/>
  <c r="AC24" i="20"/>
  <c r="BO24" i="20"/>
  <c r="BC24" i="20"/>
  <c r="AT24" i="20"/>
  <c r="AK24" i="20"/>
  <c r="AB24" i="20"/>
  <c r="BS23" i="20"/>
  <c r="BG23" i="20"/>
  <c r="AX23" i="20"/>
  <c r="AO23" i="20"/>
  <c r="AF23" i="20"/>
  <c r="BR23" i="20"/>
  <c r="BF23" i="20"/>
  <c r="AW23" i="20"/>
  <c r="AN23" i="20"/>
  <c r="AE23" i="20"/>
  <c r="BQ23" i="20"/>
  <c r="BE23" i="20"/>
  <c r="AV23" i="20"/>
  <c r="AM23" i="20"/>
  <c r="AD23" i="20"/>
  <c r="BP23" i="20"/>
  <c r="BD23" i="20"/>
  <c r="AU23" i="20"/>
  <c r="AL23" i="20"/>
  <c r="AC23" i="20"/>
  <c r="BO23" i="20"/>
  <c r="BC23" i="20"/>
  <c r="AT23" i="20"/>
  <c r="AK23" i="20"/>
  <c r="AB23" i="20"/>
  <c r="BS22" i="20"/>
  <c r="BG22" i="20"/>
  <c r="AX22" i="20"/>
  <c r="AO22" i="20"/>
  <c r="AF22" i="20"/>
  <c r="BR22" i="20"/>
  <c r="BF22" i="20"/>
  <c r="AW22" i="20"/>
  <c r="AN22" i="20"/>
  <c r="AE22" i="20"/>
  <c r="BQ22" i="20"/>
  <c r="BE22" i="20"/>
  <c r="AV22" i="20"/>
  <c r="AM22" i="20"/>
  <c r="AD22" i="20"/>
  <c r="BP22" i="20"/>
  <c r="BD22" i="20"/>
  <c r="AU22" i="20"/>
  <c r="AL22" i="20"/>
  <c r="AC22" i="20"/>
  <c r="BO22" i="20"/>
  <c r="BC22" i="20"/>
  <c r="AT22" i="20"/>
  <c r="AK22" i="20"/>
  <c r="AB22" i="20"/>
  <c r="BS21" i="20"/>
  <c r="BG21" i="20"/>
  <c r="AX21" i="20"/>
  <c r="AO21" i="20"/>
  <c r="AF21" i="20"/>
  <c r="BR21" i="20"/>
  <c r="BF21" i="20"/>
  <c r="AW21" i="20"/>
  <c r="AN21" i="20"/>
  <c r="AE21" i="20"/>
  <c r="BQ21" i="20"/>
  <c r="BE21" i="20"/>
  <c r="AV21" i="20"/>
  <c r="AM21" i="20"/>
  <c r="AD21" i="20"/>
  <c r="BP21" i="20"/>
  <c r="BD21" i="20"/>
  <c r="AU21" i="20"/>
  <c r="AL21" i="20"/>
  <c r="AC21" i="20"/>
  <c r="BO21" i="20"/>
  <c r="BC21" i="20"/>
  <c r="AT21" i="20"/>
  <c r="AK21" i="20"/>
  <c r="AB21" i="20"/>
  <c r="BS20" i="20"/>
  <c r="BG20" i="20"/>
  <c r="AX20" i="20"/>
  <c r="AO20" i="20"/>
  <c r="AF20" i="20"/>
  <c r="BR20" i="20"/>
  <c r="BF20" i="20"/>
  <c r="AW20" i="20"/>
  <c r="AN20" i="20"/>
  <c r="AE20" i="20"/>
  <c r="BQ20" i="20"/>
  <c r="BE20" i="20"/>
  <c r="AV20" i="20"/>
  <c r="AM20" i="20"/>
  <c r="AD20" i="20"/>
  <c r="BP20" i="20"/>
  <c r="BD20" i="20"/>
  <c r="AU20" i="20"/>
  <c r="AL20" i="20"/>
  <c r="AC20" i="20"/>
  <c r="BO20" i="20"/>
  <c r="BC20" i="20"/>
  <c r="AT20" i="20"/>
  <c r="AK20" i="20"/>
  <c r="AB20" i="20"/>
  <c r="BS19" i="20"/>
  <c r="BG19" i="20"/>
  <c r="AX19" i="20"/>
  <c r="AO19" i="20"/>
  <c r="AF19" i="20"/>
  <c r="BR19" i="20"/>
  <c r="BF19" i="20"/>
  <c r="AW19" i="20"/>
  <c r="AN19" i="20"/>
  <c r="AE19" i="20"/>
  <c r="BQ19" i="20"/>
  <c r="BE19" i="20"/>
  <c r="AV19" i="20"/>
  <c r="AM19" i="20"/>
  <c r="AD19" i="20"/>
  <c r="BP19" i="20"/>
  <c r="BD19" i="20"/>
  <c r="AU19" i="20"/>
  <c r="AL19" i="20"/>
  <c r="AC19" i="20"/>
  <c r="BO19" i="20"/>
  <c r="BC19" i="20"/>
  <c r="AT19" i="20"/>
  <c r="AK19" i="20"/>
  <c r="AB19" i="20"/>
  <c r="BS18" i="20"/>
  <c r="BG18" i="20"/>
  <c r="AX18" i="20"/>
  <c r="AO18" i="20"/>
  <c r="AF18" i="20"/>
  <c r="BR18" i="20"/>
  <c r="BF18" i="20"/>
  <c r="AW18" i="20"/>
  <c r="AN18" i="20"/>
  <c r="AE18" i="20"/>
  <c r="BQ18" i="20"/>
  <c r="BE18" i="20"/>
  <c r="AV18" i="20"/>
  <c r="AM18" i="20"/>
  <c r="AD18" i="20"/>
  <c r="BP18" i="20"/>
  <c r="BD18" i="20"/>
  <c r="AU18" i="20"/>
  <c r="AL18" i="20"/>
  <c r="AC18" i="20"/>
  <c r="BO18" i="20"/>
  <c r="BC18" i="20"/>
  <c r="AT18" i="20"/>
  <c r="AK18" i="20"/>
  <c r="AB18" i="20"/>
  <c r="BS17" i="20"/>
  <c r="BG17" i="20"/>
  <c r="AX17" i="20"/>
  <c r="AO17" i="20"/>
  <c r="AF17" i="20"/>
  <c r="BR17" i="20"/>
  <c r="BF17" i="20"/>
  <c r="AW17" i="20"/>
  <c r="AN17" i="20"/>
  <c r="AE17" i="20"/>
  <c r="BQ17" i="20"/>
  <c r="BE17" i="20"/>
  <c r="AV17" i="20"/>
  <c r="AM17" i="20"/>
  <c r="AD17" i="20"/>
  <c r="BP17" i="20"/>
  <c r="BD17" i="20"/>
  <c r="AU17" i="20"/>
  <c r="AL17" i="20"/>
  <c r="AC17" i="20"/>
  <c r="BO17" i="20"/>
  <c r="BC17" i="20"/>
  <c r="AT17" i="20"/>
  <c r="AK17" i="20"/>
  <c r="AB17" i="20"/>
  <c r="BS16" i="20"/>
  <c r="BG16" i="20"/>
  <c r="AX16" i="20"/>
  <c r="AO16" i="20"/>
  <c r="AF16" i="20"/>
  <c r="BR16" i="20"/>
  <c r="BF16" i="20"/>
  <c r="AW16" i="20"/>
  <c r="AN16" i="20"/>
  <c r="AE16" i="20"/>
  <c r="BQ16" i="20"/>
  <c r="BE16" i="20"/>
  <c r="AV16" i="20"/>
  <c r="AM16" i="20"/>
  <c r="AD16" i="20"/>
  <c r="BP16" i="20"/>
  <c r="BD16" i="20"/>
  <c r="AU16" i="20"/>
  <c r="AL16" i="20"/>
  <c r="AC16" i="20"/>
  <c r="BO16" i="20"/>
  <c r="BC16" i="20"/>
  <c r="AT16" i="20"/>
  <c r="AK16" i="20"/>
  <c r="AB16" i="20"/>
  <c r="BS15" i="20"/>
  <c r="BG15" i="20"/>
  <c r="AX15" i="20"/>
  <c r="AO15" i="20"/>
  <c r="AF15" i="20"/>
  <c r="BR15" i="20"/>
  <c r="BF15" i="20"/>
  <c r="AW15" i="20"/>
  <c r="AN15" i="20"/>
  <c r="AE15" i="20"/>
  <c r="BQ15" i="20"/>
  <c r="BE15" i="20"/>
  <c r="AV15" i="20"/>
  <c r="AM15" i="20"/>
  <c r="AD15" i="20"/>
  <c r="BP15" i="20"/>
  <c r="BD15" i="20"/>
  <c r="AU15" i="20"/>
  <c r="AL15" i="20"/>
  <c r="AC15" i="20"/>
  <c r="BO15" i="20"/>
  <c r="BC15" i="20"/>
  <c r="AT15" i="20"/>
  <c r="AK15" i="20"/>
  <c r="AB15" i="20"/>
  <c r="BS14" i="20"/>
  <c r="BG14" i="20"/>
  <c r="AX14" i="20"/>
  <c r="AO14" i="20"/>
  <c r="AF14" i="20"/>
  <c r="BR14" i="20"/>
  <c r="BF14" i="20"/>
  <c r="AW14" i="20"/>
  <c r="AN14" i="20"/>
  <c r="AE14" i="20"/>
  <c r="BQ14" i="20"/>
  <c r="BE14" i="20"/>
  <c r="AV14" i="20"/>
  <c r="AM14" i="20"/>
  <c r="AD14" i="20"/>
  <c r="BP14" i="20"/>
  <c r="BD14" i="20"/>
  <c r="AU14" i="20"/>
  <c r="AL14" i="20"/>
  <c r="AC14" i="20"/>
  <c r="BO14" i="20"/>
  <c r="BC14" i="20"/>
  <c r="AT14" i="20"/>
  <c r="AK14" i="20"/>
  <c r="AB14" i="20"/>
  <c r="BS13" i="20"/>
  <c r="BG13" i="20"/>
  <c r="AX13" i="20"/>
  <c r="AO13" i="20"/>
  <c r="AF13" i="20"/>
  <c r="BR13" i="20"/>
  <c r="BF13" i="20"/>
  <c r="AW13" i="20"/>
  <c r="AN13" i="20"/>
  <c r="AE13" i="20"/>
  <c r="BQ13" i="20"/>
  <c r="BE13" i="20"/>
  <c r="AV13" i="20"/>
  <c r="AM13" i="20"/>
  <c r="AD13" i="20"/>
  <c r="BP13" i="20"/>
  <c r="BD13" i="20"/>
  <c r="AU13" i="20"/>
  <c r="AL13" i="20"/>
  <c r="AC13" i="20"/>
  <c r="BO13" i="20"/>
  <c r="BC13" i="20"/>
  <c r="AT13" i="20"/>
  <c r="AK13" i="20"/>
  <c r="AB13" i="20"/>
  <c r="BS12" i="20"/>
  <c r="BG12" i="20"/>
  <c r="AX12" i="20"/>
  <c r="AO12" i="20"/>
  <c r="AF12" i="20"/>
  <c r="BR12" i="20"/>
  <c r="BF12" i="20"/>
  <c r="AW12" i="20"/>
  <c r="AN12" i="20"/>
  <c r="AE12" i="20"/>
  <c r="BQ12" i="20"/>
  <c r="BE12" i="20"/>
  <c r="AV12" i="20"/>
  <c r="AM12" i="20"/>
  <c r="AD12" i="20"/>
  <c r="BP12" i="20"/>
  <c r="BD12" i="20"/>
  <c r="AU12" i="20"/>
  <c r="AL12" i="20"/>
  <c r="AC12" i="20"/>
  <c r="BO12" i="20"/>
  <c r="BC12" i="20"/>
  <c r="AT12" i="20"/>
  <c r="AK12" i="20"/>
  <c r="AB12" i="20"/>
  <c r="BS11" i="20"/>
  <c r="BG11" i="20"/>
  <c r="AX11" i="20"/>
  <c r="AO11" i="20"/>
  <c r="AF11" i="20"/>
  <c r="BR11" i="20"/>
  <c r="BF11" i="20"/>
  <c r="AW11" i="20"/>
  <c r="AN11" i="20"/>
  <c r="AE11" i="20"/>
  <c r="BQ11" i="20"/>
  <c r="BE11" i="20"/>
  <c r="AV11" i="20"/>
  <c r="AM11" i="20"/>
  <c r="AD11" i="20"/>
  <c r="BP11" i="20"/>
  <c r="BD11" i="20"/>
  <c r="AU11" i="20"/>
  <c r="AL11" i="20"/>
  <c r="AC11" i="20"/>
  <c r="BO11" i="20"/>
  <c r="BC11" i="20"/>
  <c r="AT11" i="20"/>
  <c r="AK11" i="20"/>
  <c r="AB11" i="20"/>
  <c r="BS10" i="20"/>
  <c r="BG10" i="20"/>
  <c r="AX10" i="20"/>
  <c r="AO10" i="20"/>
  <c r="AF10" i="20"/>
  <c r="BR10" i="20"/>
  <c r="BF10" i="20"/>
  <c r="AW10" i="20"/>
  <c r="AN10" i="20"/>
  <c r="AE10" i="20"/>
  <c r="BQ10" i="20"/>
  <c r="BE10" i="20"/>
  <c r="AV10" i="20"/>
  <c r="AM10" i="20"/>
  <c r="AD10" i="20"/>
  <c r="BP10" i="20"/>
  <c r="BD10" i="20"/>
  <c r="AU10" i="20"/>
  <c r="AL10" i="20"/>
  <c r="AC10" i="20"/>
  <c r="BO10" i="20"/>
  <c r="BC10" i="20"/>
  <c r="AT10" i="20"/>
  <c r="AK10" i="20"/>
  <c r="AB10" i="20"/>
  <c r="BS9" i="20"/>
  <c r="BG9" i="20"/>
  <c r="AX9" i="20"/>
  <c r="AO9" i="20"/>
  <c r="AF9" i="20"/>
  <c r="BR9" i="20"/>
  <c r="BF9" i="20"/>
  <c r="AW9" i="20"/>
  <c r="AN9" i="20"/>
  <c r="AE9" i="20"/>
  <c r="BQ9" i="20"/>
  <c r="BE9" i="20"/>
  <c r="AV9" i="20"/>
  <c r="AM9" i="20"/>
  <c r="AD9" i="20"/>
  <c r="BP9" i="20"/>
  <c r="BD9" i="20"/>
  <c r="AU9" i="20"/>
  <c r="AL9" i="20"/>
  <c r="AC9" i="20"/>
  <c r="BO9" i="20"/>
  <c r="BC9" i="20"/>
  <c r="AT9" i="20"/>
  <c r="AK9" i="20"/>
  <c r="AB9" i="20"/>
  <c r="BS8" i="20"/>
  <c r="BG8" i="20"/>
  <c r="AX8" i="20"/>
  <c r="AO8" i="20"/>
  <c r="AF8" i="20"/>
  <c r="BR8" i="20"/>
  <c r="BF8" i="20"/>
  <c r="AW8" i="20"/>
  <c r="AN8" i="20"/>
  <c r="AE8" i="20"/>
  <c r="BQ8" i="20"/>
  <c r="BE8" i="20"/>
  <c r="AV8" i="20"/>
  <c r="AM8" i="20"/>
  <c r="AD8" i="20"/>
  <c r="BP8" i="20"/>
  <c r="BD8" i="20"/>
  <c r="AU8" i="20"/>
  <c r="AL8" i="20"/>
  <c r="AC8" i="20"/>
  <c r="BO8" i="20"/>
  <c r="BC8" i="20"/>
  <c r="AT8" i="20"/>
  <c r="AK8" i="20"/>
  <c r="AB8" i="20"/>
  <c r="BS7" i="20"/>
  <c r="BG7" i="20"/>
  <c r="AX7" i="20"/>
  <c r="AO7" i="20"/>
  <c r="AF7" i="20"/>
  <c r="BR7" i="20"/>
  <c r="BF7" i="20"/>
  <c r="AW7" i="20"/>
  <c r="AN7" i="20"/>
  <c r="AE7" i="20"/>
  <c r="BQ7" i="20"/>
  <c r="BE7" i="20"/>
  <c r="AV7" i="20"/>
  <c r="AM7" i="20"/>
  <c r="AD7" i="20"/>
  <c r="BP7" i="20"/>
  <c r="BD7" i="20"/>
  <c r="AU7" i="20"/>
  <c r="AL7" i="20"/>
  <c r="AC7" i="20"/>
  <c r="BO7" i="20"/>
  <c r="BC7" i="20"/>
  <c r="AT7" i="20"/>
  <c r="AK7" i="20"/>
  <c r="AB7" i="20"/>
  <c r="BS35" i="20"/>
  <c r="BG35" i="20"/>
  <c r="AX35" i="20"/>
  <c r="AO35" i="20"/>
  <c r="AF35" i="20"/>
  <c r="BR35" i="20"/>
  <c r="BF35" i="20"/>
  <c r="AW35" i="20"/>
  <c r="AN35" i="20"/>
  <c r="AE35" i="20"/>
  <c r="BQ35" i="20"/>
  <c r="BE35" i="20"/>
  <c r="AV35" i="20"/>
  <c r="AM35" i="20"/>
  <c r="AD35" i="20"/>
  <c r="BP35" i="20"/>
  <c r="BD35" i="20"/>
  <c r="AU35" i="20"/>
  <c r="AL35" i="20"/>
  <c r="AC35" i="20"/>
  <c r="BO35" i="20"/>
  <c r="BC35" i="20"/>
  <c r="AT35" i="20"/>
  <c r="AK35" i="20"/>
  <c r="AB35" i="20"/>
  <c r="BJ36" i="20"/>
  <c r="BJ37" i="20"/>
  <c r="C66" i="39"/>
  <c r="D432" i="31" s="1"/>
  <c r="C65" i="39"/>
  <c r="D429" i="31" s="1"/>
  <c r="C64" i="39"/>
  <c r="D433" i="31" s="1"/>
  <c r="D435" i="31"/>
  <c r="C61" i="39"/>
  <c r="D434" i="31" s="1"/>
  <c r="C63" i="39"/>
  <c r="D428" i="31" s="1"/>
  <c r="C62" i="39"/>
  <c r="C58" i="39"/>
  <c r="D437" i="31" s="1"/>
  <c r="D436" i="31" l="1"/>
  <c r="D430" i="31"/>
  <c r="D431" i="31"/>
  <c r="F439" i="31"/>
  <c r="E22" i="18" l="1"/>
  <c r="F437" i="31"/>
  <c r="F436" i="31"/>
  <c r="G434" i="31"/>
  <c r="G433" i="31"/>
  <c r="G430" i="31"/>
  <c r="F429" i="31"/>
  <c r="G431" i="31"/>
  <c r="G432" i="31"/>
  <c r="G435" i="31"/>
  <c r="G439" i="31"/>
  <c r="G428" i="31"/>
  <c r="F431" i="31"/>
  <c r="F432" i="31"/>
  <c r="F435" i="31"/>
  <c r="F428" i="31"/>
  <c r="F433" i="31" l="1"/>
  <c r="E433" i="31" s="1"/>
  <c r="AC58" i="18"/>
  <c r="E435" i="31"/>
  <c r="F434" i="31"/>
  <c r="E434" i="31" s="1"/>
  <c r="G429" i="31"/>
  <c r="G437" i="31"/>
  <c r="E437" i="31" s="1"/>
  <c r="F430" i="31"/>
  <c r="E430" i="31" s="1"/>
  <c r="G436" i="31"/>
  <c r="E436" i="31" s="1"/>
  <c r="E428" i="31"/>
  <c r="E432" i="31"/>
  <c r="E431" i="31"/>
  <c r="AA58" i="18" l="1"/>
  <c r="E429" i="31"/>
  <c r="K43" i="35" l="1"/>
  <c r="J43" i="35"/>
  <c r="K49" i="35" l="1"/>
  <c r="K53" i="35"/>
  <c r="K57" i="35"/>
  <c r="K61" i="35"/>
  <c r="K65" i="35"/>
  <c r="K69" i="35"/>
  <c r="K73" i="35"/>
  <c r="K77" i="35"/>
  <c r="K81" i="35"/>
  <c r="K85" i="35"/>
  <c r="K89" i="35"/>
  <c r="K93" i="35"/>
  <c r="K97" i="35"/>
  <c r="K101" i="35"/>
  <c r="K105" i="35"/>
  <c r="K109" i="35"/>
  <c r="K113" i="35"/>
  <c r="K117" i="35"/>
  <c r="K121" i="35"/>
  <c r="K125" i="35"/>
  <c r="K50" i="35"/>
  <c r="K54" i="35"/>
  <c r="K58" i="35"/>
  <c r="K62" i="35"/>
  <c r="K66" i="35"/>
  <c r="K70" i="35"/>
  <c r="K74" i="35"/>
  <c r="K78" i="35"/>
  <c r="K82" i="35"/>
  <c r="K86" i="35"/>
  <c r="K90" i="35"/>
  <c r="K94" i="35"/>
  <c r="K98" i="35"/>
  <c r="K102" i="35"/>
  <c r="K106" i="35"/>
  <c r="K110" i="35"/>
  <c r="K114" i="35"/>
  <c r="K118" i="35"/>
  <c r="K122" i="35"/>
  <c r="K126" i="35"/>
  <c r="K51" i="35"/>
  <c r="K55" i="35"/>
  <c r="K59" i="35"/>
  <c r="K63" i="35"/>
  <c r="K67" i="35"/>
  <c r="K71" i="35"/>
  <c r="K75" i="35"/>
  <c r="K79" i="35"/>
  <c r="K83" i="35"/>
  <c r="K87" i="35"/>
  <c r="K91" i="35"/>
  <c r="K95" i="35"/>
  <c r="K99" i="35"/>
  <c r="K103" i="35"/>
  <c r="K107" i="35"/>
  <c r="K111" i="35"/>
  <c r="K115" i="35"/>
  <c r="K119" i="35"/>
  <c r="K123" i="35"/>
  <c r="K127" i="35"/>
  <c r="K60" i="35"/>
  <c r="K76" i="35"/>
  <c r="K92" i="35"/>
  <c r="K108" i="35"/>
  <c r="K124" i="35"/>
  <c r="K72" i="35"/>
  <c r="K104" i="35"/>
  <c r="K64" i="35"/>
  <c r="K80" i="35"/>
  <c r="K96" i="35"/>
  <c r="K112" i="35"/>
  <c r="K48" i="35"/>
  <c r="K56" i="35"/>
  <c r="K88" i="35"/>
  <c r="K120" i="35"/>
  <c r="K52" i="35"/>
  <c r="K68" i="35"/>
  <c r="K84" i="35"/>
  <c r="K100" i="35"/>
  <c r="K116" i="35"/>
  <c r="L29" i="40"/>
  <c r="L30" i="40"/>
  <c r="L31" i="40"/>
  <c r="L32" i="40"/>
  <c r="L33" i="40"/>
  <c r="L34" i="40"/>
  <c r="L28" i="40"/>
  <c r="L9" i="40"/>
  <c r="L10" i="40"/>
  <c r="L11" i="40"/>
  <c r="L12" i="40"/>
  <c r="L13" i="40"/>
  <c r="L14" i="40"/>
  <c r="L15" i="40"/>
  <c r="L16" i="40"/>
  <c r="L8" i="40"/>
  <c r="AM68" i="18" l="1"/>
  <c r="AM67" i="18"/>
  <c r="D43" i="31"/>
  <c r="D20" i="38"/>
  <c r="D21" i="38"/>
  <c r="D22" i="38"/>
  <c r="D23" i="38"/>
  <c r="D24" i="38"/>
  <c r="D25" i="38"/>
  <c r="D26" i="38"/>
  <c r="D19" i="38"/>
  <c r="D6" i="38"/>
  <c r="D7" i="38"/>
  <c r="D8" i="38"/>
  <c r="D9" i="38"/>
  <c r="D10" i="38"/>
  <c r="D11" i="38"/>
  <c r="D12" i="38"/>
  <c r="D13" i="38"/>
  <c r="D14" i="38"/>
  <c r="D5" i="38"/>
  <c r="D264" i="31"/>
  <c r="F264" i="31" s="1"/>
  <c r="F266" i="31"/>
  <c r="G266" i="31"/>
  <c r="D267" i="31"/>
  <c r="F267" i="31" s="1"/>
  <c r="D268" i="31"/>
  <c r="F268" i="31" s="1"/>
  <c r="A26" i="38"/>
  <c r="D276" i="31"/>
  <c r="G276" i="31" s="1"/>
  <c r="D278" i="31"/>
  <c r="F278" i="31" s="1"/>
  <c r="D279" i="31"/>
  <c r="G279" i="31" s="1"/>
  <c r="D282" i="31"/>
  <c r="G282" i="31" s="1"/>
  <c r="C38" i="18"/>
  <c r="S17" i="18"/>
  <c r="S51" i="18"/>
  <c r="S52" i="18" s="1"/>
  <c r="S54" i="18"/>
  <c r="J29" i="40"/>
  <c r="J30" i="40"/>
  <c r="J31" i="40"/>
  <c r="J32" i="40"/>
  <c r="J33" i="40"/>
  <c r="J34" i="40"/>
  <c r="J28" i="40"/>
  <c r="K29" i="40"/>
  <c r="K30" i="40"/>
  <c r="K31" i="40"/>
  <c r="K32" i="40"/>
  <c r="K33" i="40"/>
  <c r="K34" i="40"/>
  <c r="K28" i="40"/>
  <c r="E266" i="31" l="1"/>
  <c r="F276" i="31"/>
  <c r="E276" i="31" s="1"/>
  <c r="G268" i="31"/>
  <c r="E268" i="31" s="1"/>
  <c r="F279" i="31"/>
  <c r="E279" i="31" s="1"/>
  <c r="G264" i="31"/>
  <c r="G278" i="31"/>
  <c r="E278" i="31" s="1"/>
  <c r="G267" i="31"/>
  <c r="F282" i="31"/>
  <c r="AA39" i="18"/>
  <c r="D283" i="31"/>
  <c r="E264" i="31" l="1"/>
  <c r="AA38" i="18"/>
  <c r="AC39" i="18"/>
  <c r="E267" i="31"/>
  <c r="AC38" i="18"/>
  <c r="F283" i="31"/>
  <c r="F284" i="31" s="1"/>
  <c r="AG39" i="18" s="1"/>
  <c r="G283" i="31"/>
  <c r="G284" i="31" s="1"/>
  <c r="H47" i="34" l="1"/>
  <c r="K5" i="42" l="1"/>
  <c r="L5" i="42" s="1"/>
  <c r="K6" i="42"/>
  <c r="L6" i="42" s="1"/>
  <c r="K7" i="42"/>
  <c r="L7" i="42" s="1"/>
  <c r="K8" i="42"/>
  <c r="L8" i="42" s="1"/>
  <c r="K9" i="42"/>
  <c r="L9" i="42" s="1"/>
  <c r="K10" i="42"/>
  <c r="L10" i="42" s="1"/>
  <c r="K4" i="42"/>
  <c r="L4" i="42" s="1"/>
  <c r="H5" i="42"/>
  <c r="I5" i="42" s="1"/>
  <c r="H6" i="42"/>
  <c r="I6" i="42" s="1"/>
  <c r="H7" i="42"/>
  <c r="I7" i="42" s="1"/>
  <c r="H8" i="42"/>
  <c r="I8" i="42" s="1"/>
  <c r="H9" i="42"/>
  <c r="I9" i="42" s="1"/>
  <c r="H10" i="42"/>
  <c r="I10" i="42" s="1"/>
  <c r="H4" i="42"/>
  <c r="I4" i="42" s="1"/>
  <c r="G5" i="42"/>
  <c r="K37" i="35" s="1"/>
  <c r="G6" i="42"/>
  <c r="K38" i="35" s="1"/>
  <c r="G7" i="42"/>
  <c r="K39" i="35" s="1"/>
  <c r="G8" i="42"/>
  <c r="K40" i="35" s="1"/>
  <c r="G9" i="42"/>
  <c r="K41" i="35" s="1"/>
  <c r="G10" i="42"/>
  <c r="K42" i="35" s="1"/>
  <c r="K36" i="35"/>
  <c r="K9" i="40"/>
  <c r="K10" i="40"/>
  <c r="K11" i="40"/>
  <c r="K12" i="40"/>
  <c r="K13" i="40"/>
  <c r="K14" i="40"/>
  <c r="K15" i="40"/>
  <c r="K16" i="40"/>
  <c r="K8" i="40"/>
  <c r="J9" i="40"/>
  <c r="J10" i="40"/>
  <c r="J11" i="40"/>
  <c r="J12" i="40"/>
  <c r="J13" i="40"/>
  <c r="J14" i="40"/>
  <c r="J15" i="40"/>
  <c r="J16" i="40"/>
  <c r="J8" i="40"/>
  <c r="C10" i="39"/>
  <c r="C9" i="39"/>
  <c r="F4" i="42"/>
  <c r="J36" i="35" s="1"/>
  <c r="K53" i="18"/>
  <c r="M53" i="18" s="1"/>
  <c r="O53" i="18" s="1"/>
  <c r="Q53" i="18" s="1"/>
  <c r="S53" i="18" s="1"/>
  <c r="G36" i="35"/>
  <c r="F10" i="42"/>
  <c r="J42" i="35" s="1"/>
  <c r="F9" i="42"/>
  <c r="J41" i="35" s="1"/>
  <c r="F8" i="42"/>
  <c r="J40" i="35" s="1"/>
  <c r="F7" i="42"/>
  <c r="J39" i="35" s="1"/>
  <c r="F6" i="42"/>
  <c r="J38" i="35" s="1"/>
  <c r="F5" i="42"/>
  <c r="J37" i="35" s="1"/>
  <c r="C33" i="39"/>
  <c r="D42" i="31" s="1"/>
  <c r="G43" i="31"/>
  <c r="D69" i="35" l="1"/>
  <c r="D89" i="35"/>
  <c r="D109" i="35"/>
  <c r="D74" i="35"/>
  <c r="D77" i="35"/>
  <c r="D118" i="35"/>
  <c r="D60" i="35"/>
  <c r="D122" i="35"/>
  <c r="D104" i="35"/>
  <c r="D105" i="35"/>
  <c r="D87" i="35"/>
  <c r="D108" i="35"/>
  <c r="D50" i="35"/>
  <c r="D70" i="35"/>
  <c r="D90" i="35"/>
  <c r="D110" i="35"/>
  <c r="D54" i="35"/>
  <c r="D95" i="35"/>
  <c r="D56" i="35"/>
  <c r="D116" i="35"/>
  <c r="D57" i="35"/>
  <c r="D78" i="35"/>
  <c r="D99" i="35"/>
  <c r="D121" i="35"/>
  <c r="D83" i="35"/>
  <c r="D124" i="35"/>
  <c r="D65" i="35"/>
  <c r="D86" i="35"/>
  <c r="D127" i="35"/>
  <c r="D68" i="35"/>
  <c r="D51" i="35"/>
  <c r="D71" i="35"/>
  <c r="D91" i="35"/>
  <c r="D111" i="35"/>
  <c r="D94" i="35"/>
  <c r="D55" i="35"/>
  <c r="D96" i="35"/>
  <c r="D97" i="35"/>
  <c r="D98" i="35"/>
  <c r="D119" i="35"/>
  <c r="D100" i="35"/>
  <c r="D101" i="35"/>
  <c r="D62" i="35"/>
  <c r="D123" i="35"/>
  <c r="D64" i="35"/>
  <c r="D85" i="35"/>
  <c r="D125" i="35"/>
  <c r="D66" i="35"/>
  <c r="D126" i="35"/>
  <c r="C17" i="35" s="1"/>
  <c r="D107" i="35"/>
  <c r="D49" i="35"/>
  <c r="D52" i="35"/>
  <c r="D72" i="35"/>
  <c r="D92" i="35"/>
  <c r="D112" i="35"/>
  <c r="D114" i="35"/>
  <c r="D115" i="35"/>
  <c r="D76" i="35"/>
  <c r="D117" i="35"/>
  <c r="D58" i="35"/>
  <c r="D59" i="35"/>
  <c r="D80" i="35"/>
  <c r="D81" i="35"/>
  <c r="D82" i="35"/>
  <c r="D63" i="35"/>
  <c r="D67" i="35"/>
  <c r="D88" i="35"/>
  <c r="D53" i="35"/>
  <c r="D73" i="35"/>
  <c r="D93" i="35"/>
  <c r="D113" i="35"/>
  <c r="D75" i="35"/>
  <c r="D79" i="35"/>
  <c r="D120" i="35"/>
  <c r="D61" i="35"/>
  <c r="D102" i="35"/>
  <c r="D103" i="35"/>
  <c r="D84" i="35"/>
  <c r="D106" i="35"/>
  <c r="M9" i="42"/>
  <c r="M5" i="42"/>
  <c r="D48" i="35"/>
  <c r="J10" i="42"/>
  <c r="J49" i="35"/>
  <c r="J53" i="35"/>
  <c r="J57" i="35"/>
  <c r="J61" i="35"/>
  <c r="J65" i="35"/>
  <c r="J69" i="35"/>
  <c r="J73" i="35"/>
  <c r="J77" i="35"/>
  <c r="J81" i="35"/>
  <c r="J85" i="35"/>
  <c r="J89" i="35"/>
  <c r="J93" i="35"/>
  <c r="J97" i="35"/>
  <c r="J101" i="35"/>
  <c r="J105" i="35"/>
  <c r="J109" i="35"/>
  <c r="J113" i="35"/>
  <c r="J117" i="35"/>
  <c r="J121" i="35"/>
  <c r="J125" i="35"/>
  <c r="J50" i="35"/>
  <c r="J54" i="35"/>
  <c r="J58" i="35"/>
  <c r="J62" i="35"/>
  <c r="J66" i="35"/>
  <c r="J70" i="35"/>
  <c r="J74" i="35"/>
  <c r="J78" i="35"/>
  <c r="J82" i="35"/>
  <c r="J86" i="35"/>
  <c r="J90" i="35"/>
  <c r="J94" i="35"/>
  <c r="J98" i="35"/>
  <c r="J102" i="35"/>
  <c r="J106" i="35"/>
  <c r="J110" i="35"/>
  <c r="J114" i="35"/>
  <c r="J118" i="35"/>
  <c r="J122" i="35"/>
  <c r="J126" i="35"/>
  <c r="J51" i="35"/>
  <c r="J55" i="35"/>
  <c r="J59" i="35"/>
  <c r="J63" i="35"/>
  <c r="J67" i="35"/>
  <c r="J71" i="35"/>
  <c r="J75" i="35"/>
  <c r="J79" i="35"/>
  <c r="J83" i="35"/>
  <c r="J87" i="35"/>
  <c r="J91" i="35"/>
  <c r="J95" i="35"/>
  <c r="J99" i="35"/>
  <c r="J103" i="35"/>
  <c r="J107" i="35"/>
  <c r="J111" i="35"/>
  <c r="J115" i="35"/>
  <c r="J119" i="35"/>
  <c r="J123" i="35"/>
  <c r="J127" i="35"/>
  <c r="J60" i="35"/>
  <c r="J76" i="35"/>
  <c r="J92" i="35"/>
  <c r="J108" i="35"/>
  <c r="J124" i="35"/>
  <c r="J56" i="35"/>
  <c r="J88" i="35"/>
  <c r="J120" i="35"/>
  <c r="J64" i="35"/>
  <c r="J80" i="35"/>
  <c r="J96" i="35"/>
  <c r="J112" i="35"/>
  <c r="J48" i="35"/>
  <c r="J72" i="35"/>
  <c r="J104" i="35"/>
  <c r="J52" i="35"/>
  <c r="J68" i="35"/>
  <c r="J84" i="35"/>
  <c r="J100" i="35"/>
  <c r="J116" i="35"/>
  <c r="F52" i="35"/>
  <c r="F56" i="35"/>
  <c r="F60" i="35"/>
  <c r="F64" i="35"/>
  <c r="F68" i="35"/>
  <c r="F72" i="35"/>
  <c r="F76" i="35"/>
  <c r="F80" i="35"/>
  <c r="F84" i="35"/>
  <c r="F88" i="35"/>
  <c r="F92" i="35"/>
  <c r="F96" i="35"/>
  <c r="F100" i="35"/>
  <c r="F104" i="35"/>
  <c r="F108" i="35"/>
  <c r="F112" i="35"/>
  <c r="F116" i="35"/>
  <c r="F120" i="35"/>
  <c r="F124" i="35"/>
  <c r="F48" i="35"/>
  <c r="F49" i="35"/>
  <c r="F53" i="35"/>
  <c r="F57" i="35"/>
  <c r="F61" i="35"/>
  <c r="F65" i="35"/>
  <c r="F69" i="35"/>
  <c r="F73" i="35"/>
  <c r="F77" i="35"/>
  <c r="F81" i="35"/>
  <c r="F85" i="35"/>
  <c r="F89" i="35"/>
  <c r="F93" i="35"/>
  <c r="F97" i="35"/>
  <c r="F101" i="35"/>
  <c r="F105" i="35"/>
  <c r="F109" i="35"/>
  <c r="F113" i="35"/>
  <c r="F117" i="35"/>
  <c r="F121" i="35"/>
  <c r="F125" i="35"/>
  <c r="F50" i="35"/>
  <c r="F54" i="35"/>
  <c r="F58" i="35"/>
  <c r="F62" i="35"/>
  <c r="F66" i="35"/>
  <c r="F70" i="35"/>
  <c r="F74" i="35"/>
  <c r="F78" i="35"/>
  <c r="F82" i="35"/>
  <c r="F86" i="35"/>
  <c r="F90" i="35"/>
  <c r="F94" i="35"/>
  <c r="F98" i="35"/>
  <c r="F102" i="35"/>
  <c r="F106" i="35"/>
  <c r="F110" i="35"/>
  <c r="F114" i="35"/>
  <c r="F118" i="35"/>
  <c r="F122" i="35"/>
  <c r="F126" i="35"/>
  <c r="F51" i="35"/>
  <c r="F67" i="35"/>
  <c r="F83" i="35"/>
  <c r="F99" i="35"/>
  <c r="F115" i="35"/>
  <c r="F111" i="35"/>
  <c r="F55" i="35"/>
  <c r="F71" i="35"/>
  <c r="F87" i="35"/>
  <c r="F103" i="35"/>
  <c r="F119" i="35"/>
  <c r="F79" i="35"/>
  <c r="F127" i="35"/>
  <c r="F59" i="35"/>
  <c r="F75" i="35"/>
  <c r="F91" i="35"/>
  <c r="F107" i="35"/>
  <c r="F123" i="35"/>
  <c r="F63" i="35"/>
  <c r="F95" i="35"/>
  <c r="J6" i="42"/>
  <c r="I49" i="35"/>
  <c r="I53" i="35"/>
  <c r="I57" i="35"/>
  <c r="I50" i="35"/>
  <c r="I54" i="35"/>
  <c r="I58" i="35"/>
  <c r="I51" i="35"/>
  <c r="I55" i="35"/>
  <c r="I59" i="35"/>
  <c r="I60" i="35"/>
  <c r="I64" i="35"/>
  <c r="I68" i="35"/>
  <c r="I72" i="35"/>
  <c r="I76" i="35"/>
  <c r="I80" i="35"/>
  <c r="I84" i="35"/>
  <c r="I88" i="35"/>
  <c r="I92" i="35"/>
  <c r="I96" i="35"/>
  <c r="I100" i="35"/>
  <c r="I104" i="35"/>
  <c r="I108" i="35"/>
  <c r="I112" i="35"/>
  <c r="I116" i="35"/>
  <c r="I120" i="35"/>
  <c r="I124" i="35"/>
  <c r="I48" i="35"/>
  <c r="I63" i="35"/>
  <c r="I71" i="35"/>
  <c r="I79" i="35"/>
  <c r="I87" i="35"/>
  <c r="I95" i="35"/>
  <c r="I103" i="35"/>
  <c r="I111" i="35"/>
  <c r="I119" i="35"/>
  <c r="I127" i="35"/>
  <c r="I61" i="35"/>
  <c r="I65" i="35"/>
  <c r="I69" i="35"/>
  <c r="I73" i="35"/>
  <c r="I77" i="35"/>
  <c r="I81" i="35"/>
  <c r="I85" i="35"/>
  <c r="I89" i="35"/>
  <c r="I93" i="35"/>
  <c r="I97" i="35"/>
  <c r="I101" i="35"/>
  <c r="I105" i="35"/>
  <c r="I109" i="35"/>
  <c r="I113" i="35"/>
  <c r="I117" i="35"/>
  <c r="I121" i="35"/>
  <c r="I125" i="35"/>
  <c r="I56" i="35"/>
  <c r="I67" i="35"/>
  <c r="I75" i="35"/>
  <c r="I83" i="35"/>
  <c r="I91" i="35"/>
  <c r="I99" i="35"/>
  <c r="I107" i="35"/>
  <c r="I115" i="35"/>
  <c r="I123" i="35"/>
  <c r="I52" i="35"/>
  <c r="I62" i="35"/>
  <c r="I66" i="35"/>
  <c r="I70" i="35"/>
  <c r="I74" i="35"/>
  <c r="I78" i="35"/>
  <c r="I82" i="35"/>
  <c r="I86" i="35"/>
  <c r="I90" i="35"/>
  <c r="I94" i="35"/>
  <c r="I98" i="35"/>
  <c r="I102" i="35"/>
  <c r="I106" i="35"/>
  <c r="I110" i="35"/>
  <c r="I114" i="35"/>
  <c r="I118" i="35"/>
  <c r="I122" i="35"/>
  <c r="I126" i="35"/>
  <c r="E52" i="35"/>
  <c r="E56" i="35"/>
  <c r="E60" i="35"/>
  <c r="E64" i="35"/>
  <c r="E68" i="35"/>
  <c r="E72" i="35"/>
  <c r="E76" i="35"/>
  <c r="E80" i="35"/>
  <c r="E84" i="35"/>
  <c r="E88" i="35"/>
  <c r="E92" i="35"/>
  <c r="E96" i="35"/>
  <c r="E100" i="35"/>
  <c r="E104" i="35"/>
  <c r="E108" i="35"/>
  <c r="E112" i="35"/>
  <c r="E116" i="35"/>
  <c r="E120" i="35"/>
  <c r="E124" i="35"/>
  <c r="E48" i="35"/>
  <c r="E49" i="35"/>
  <c r="E53" i="35"/>
  <c r="E57" i="35"/>
  <c r="E61" i="35"/>
  <c r="E65" i="35"/>
  <c r="E69" i="35"/>
  <c r="E73" i="35"/>
  <c r="E77" i="35"/>
  <c r="E81" i="35"/>
  <c r="E85" i="35"/>
  <c r="E89" i="35"/>
  <c r="E93" i="35"/>
  <c r="E97" i="35"/>
  <c r="E101" i="35"/>
  <c r="E105" i="35"/>
  <c r="E109" i="35"/>
  <c r="E113" i="35"/>
  <c r="E117" i="35"/>
  <c r="E121" i="35"/>
  <c r="E125" i="35"/>
  <c r="E50" i="35"/>
  <c r="E54" i="35"/>
  <c r="E58" i="35"/>
  <c r="E62" i="35"/>
  <c r="E66" i="35"/>
  <c r="E70" i="35"/>
  <c r="E74" i="35"/>
  <c r="E78" i="35"/>
  <c r="E82" i="35"/>
  <c r="E86" i="35"/>
  <c r="E90" i="35"/>
  <c r="E94" i="35"/>
  <c r="E98" i="35"/>
  <c r="E102" i="35"/>
  <c r="E106" i="35"/>
  <c r="E110" i="35"/>
  <c r="E114" i="35"/>
  <c r="E118" i="35"/>
  <c r="E122" i="35"/>
  <c r="E126" i="35"/>
  <c r="E51" i="35"/>
  <c r="E67" i="35"/>
  <c r="E83" i="35"/>
  <c r="E99" i="35"/>
  <c r="E115" i="35"/>
  <c r="E55" i="35"/>
  <c r="E87" i="35"/>
  <c r="E119" i="35"/>
  <c r="E79" i="35"/>
  <c r="E127" i="35"/>
  <c r="E71" i="35"/>
  <c r="E103" i="35"/>
  <c r="E95" i="35"/>
  <c r="E59" i="35"/>
  <c r="E75" i="35"/>
  <c r="E91" i="35"/>
  <c r="E107" i="35"/>
  <c r="E123" i="35"/>
  <c r="E63" i="35"/>
  <c r="E111" i="35"/>
  <c r="G52" i="35"/>
  <c r="G56" i="35"/>
  <c r="G60" i="35"/>
  <c r="G64" i="35"/>
  <c r="G68" i="35"/>
  <c r="G72" i="35"/>
  <c r="G76" i="35"/>
  <c r="G80" i="35"/>
  <c r="G84" i="35"/>
  <c r="G88" i="35"/>
  <c r="G92" i="35"/>
  <c r="G96" i="35"/>
  <c r="G100" i="35"/>
  <c r="G104" i="35"/>
  <c r="G108" i="35"/>
  <c r="G112" i="35"/>
  <c r="G116" i="35"/>
  <c r="G120" i="35"/>
  <c r="G124" i="35"/>
  <c r="G48" i="35"/>
  <c r="G49" i="35"/>
  <c r="G53" i="35"/>
  <c r="G57" i="35"/>
  <c r="G61" i="35"/>
  <c r="G65" i="35"/>
  <c r="G69" i="35"/>
  <c r="G73" i="35"/>
  <c r="G77" i="35"/>
  <c r="G81" i="35"/>
  <c r="G85" i="35"/>
  <c r="G89" i="35"/>
  <c r="G93" i="35"/>
  <c r="G97" i="35"/>
  <c r="G101" i="35"/>
  <c r="G105" i="35"/>
  <c r="G109" i="35"/>
  <c r="G113" i="35"/>
  <c r="G117" i="35"/>
  <c r="G121" i="35"/>
  <c r="G125" i="35"/>
  <c r="G51" i="35"/>
  <c r="G50" i="35"/>
  <c r="G54" i="35"/>
  <c r="G58" i="35"/>
  <c r="G62" i="35"/>
  <c r="G66" i="35"/>
  <c r="G70" i="35"/>
  <c r="G74" i="35"/>
  <c r="G78" i="35"/>
  <c r="G82" i="35"/>
  <c r="G86" i="35"/>
  <c r="G90" i="35"/>
  <c r="G94" i="35"/>
  <c r="G98" i="35"/>
  <c r="G102" i="35"/>
  <c r="G106" i="35"/>
  <c r="G110" i="35"/>
  <c r="G114" i="35"/>
  <c r="G118" i="35"/>
  <c r="G122" i="35"/>
  <c r="G126" i="35"/>
  <c r="G67" i="35"/>
  <c r="G83" i="35"/>
  <c r="G99" i="35"/>
  <c r="G115" i="35"/>
  <c r="G95" i="35"/>
  <c r="G55" i="35"/>
  <c r="G71" i="35"/>
  <c r="G87" i="35"/>
  <c r="G103" i="35"/>
  <c r="G119" i="35"/>
  <c r="G79" i="35"/>
  <c r="G127" i="35"/>
  <c r="G59" i="35"/>
  <c r="G75" i="35"/>
  <c r="G91" i="35"/>
  <c r="G107" i="35"/>
  <c r="G123" i="35"/>
  <c r="G63" i="35"/>
  <c r="G111" i="35"/>
  <c r="H52" i="35"/>
  <c r="H56" i="35"/>
  <c r="H60" i="35"/>
  <c r="H64" i="35"/>
  <c r="H68" i="35"/>
  <c r="H72" i="35"/>
  <c r="H76" i="35"/>
  <c r="H80" i="35"/>
  <c r="H84" i="35"/>
  <c r="H88" i="35"/>
  <c r="H92" i="35"/>
  <c r="H96" i="35"/>
  <c r="H100" i="35"/>
  <c r="H104" i="35"/>
  <c r="H108" i="35"/>
  <c r="H112" i="35"/>
  <c r="H116" i="35"/>
  <c r="H120" i="35"/>
  <c r="H124" i="35"/>
  <c r="H48" i="35"/>
  <c r="H55" i="35"/>
  <c r="H67" i="35"/>
  <c r="H71" i="35"/>
  <c r="H79" i="35"/>
  <c r="H87" i="35"/>
  <c r="H95" i="35"/>
  <c r="H107" i="35"/>
  <c r="H115" i="35"/>
  <c r="H49" i="35"/>
  <c r="H53" i="35"/>
  <c r="H57" i="35"/>
  <c r="H61" i="35"/>
  <c r="H65" i="35"/>
  <c r="H69" i="35"/>
  <c r="H73" i="35"/>
  <c r="H77" i="35"/>
  <c r="H81" i="35"/>
  <c r="H85" i="35"/>
  <c r="H89" i="35"/>
  <c r="H93" i="35"/>
  <c r="H97" i="35"/>
  <c r="H101" i="35"/>
  <c r="H105" i="35"/>
  <c r="H109" i="35"/>
  <c r="H113" i="35"/>
  <c r="H117" i="35"/>
  <c r="H121" i="35"/>
  <c r="H125" i="35"/>
  <c r="H51" i="35"/>
  <c r="H63" i="35"/>
  <c r="H75" i="35"/>
  <c r="H83" i="35"/>
  <c r="H91" i="35"/>
  <c r="H103" i="35"/>
  <c r="H111" i="35"/>
  <c r="H119" i="35"/>
  <c r="H50" i="35"/>
  <c r="H54" i="35"/>
  <c r="H58" i="35"/>
  <c r="H62" i="35"/>
  <c r="H66" i="35"/>
  <c r="H70" i="35"/>
  <c r="H74" i="35"/>
  <c r="H78" i="35"/>
  <c r="H82" i="35"/>
  <c r="H86" i="35"/>
  <c r="H90" i="35"/>
  <c r="H94" i="35"/>
  <c r="H98" i="35"/>
  <c r="H102" i="35"/>
  <c r="H106" i="35"/>
  <c r="H110" i="35"/>
  <c r="H114" i="35"/>
  <c r="H118" i="35"/>
  <c r="H122" i="35"/>
  <c r="H126" i="35"/>
  <c r="H59" i="35"/>
  <c r="H99" i="35"/>
  <c r="H123" i="35"/>
  <c r="H127" i="35"/>
  <c r="J7" i="42"/>
  <c r="M10" i="42"/>
  <c r="M6" i="42"/>
  <c r="M4" i="42"/>
  <c r="J9" i="42"/>
  <c r="M8" i="42"/>
  <c r="J4" i="42"/>
  <c r="M7" i="42"/>
  <c r="J8" i="42"/>
  <c r="J5" i="42"/>
  <c r="F43" i="31"/>
  <c r="E43" i="31" s="1"/>
  <c r="H30" i="30" l="1"/>
  <c r="I30" i="30"/>
  <c r="J30" i="30"/>
  <c r="K30" i="30"/>
  <c r="I26" i="30"/>
  <c r="J26" i="30"/>
  <c r="K26" i="30"/>
  <c r="H26" i="30"/>
  <c r="AC39" i="30" l="1"/>
  <c r="X40" i="30"/>
  <c r="G25" i="30"/>
  <c r="H25" i="30" s="1"/>
  <c r="Y17" i="30"/>
  <c r="AB16" i="30"/>
  <c r="Z16" i="30"/>
  <c r="Y16" i="30"/>
  <c r="X16" i="30"/>
  <c r="W16" i="30"/>
  <c r="V16" i="30"/>
  <c r="T16" i="30"/>
  <c r="R16" i="30"/>
  <c r="Q16" i="30"/>
  <c r="P16" i="30"/>
  <c r="AA16" i="30"/>
  <c r="U16" i="30"/>
  <c r="S16" i="30"/>
  <c r="AC15" i="30"/>
  <c r="D15" i="30"/>
  <c r="AC5" i="30"/>
  <c r="AC4" i="30"/>
  <c r="H3" i="30"/>
  <c r="I40" i="30" l="1"/>
  <c r="J40" i="30"/>
  <c r="Q40" i="30"/>
  <c r="Z40" i="30"/>
  <c r="AA40" i="30"/>
  <c r="K40" i="30"/>
  <c r="R17" i="30"/>
  <c r="S17" i="30"/>
  <c r="R40" i="30"/>
  <c r="Z17" i="30"/>
  <c r="G37" i="30"/>
  <c r="G38" i="30" s="1"/>
  <c r="S40" i="30"/>
  <c r="AA17" i="30"/>
  <c r="H37" i="30"/>
  <c r="Y40" i="30"/>
  <c r="AB17" i="30"/>
  <c r="U17" i="30"/>
  <c r="I37" i="30"/>
  <c r="L40" i="30"/>
  <c r="T40" i="30"/>
  <c r="AB40" i="30"/>
  <c r="V17" i="30"/>
  <c r="J37" i="30"/>
  <c r="M40" i="30"/>
  <c r="U40" i="30"/>
  <c r="T17" i="30"/>
  <c r="W17" i="30"/>
  <c r="K37" i="30"/>
  <c r="N40" i="30"/>
  <c r="V40" i="30"/>
  <c r="P17" i="30"/>
  <c r="X17" i="30"/>
  <c r="L37" i="30"/>
  <c r="G40" i="30"/>
  <c r="G41" i="30" s="1"/>
  <c r="O40" i="30"/>
  <c r="W40" i="30"/>
  <c r="Q17" i="30"/>
  <c r="H40" i="30"/>
  <c r="P40" i="30"/>
  <c r="H41" i="30" l="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H38" i="30"/>
  <c r="H42" i="30" s="1"/>
  <c r="G42" i="30"/>
  <c r="I38" i="30" l="1"/>
  <c r="I42" i="30" s="1"/>
  <c r="J38" i="30" l="1"/>
  <c r="J42" i="30" s="1"/>
  <c r="K38" i="30" l="1"/>
  <c r="K42" i="30" s="1"/>
  <c r="L38" i="30" l="1"/>
  <c r="L42" i="30" s="1"/>
  <c r="G43" i="35" l="1"/>
  <c r="I43" i="35" s="1"/>
  <c r="F43" i="35"/>
  <c r="H43" i="35" s="1"/>
  <c r="G42" i="35"/>
  <c r="I42" i="35" s="1"/>
  <c r="F42" i="35"/>
  <c r="H42" i="35" s="1"/>
  <c r="G41" i="35"/>
  <c r="I41" i="35" s="1"/>
  <c r="F41" i="35"/>
  <c r="H41" i="35" s="1"/>
  <c r="G40" i="35"/>
  <c r="I40" i="35" s="1"/>
  <c r="F40" i="35"/>
  <c r="H40" i="35" s="1"/>
  <c r="G39" i="35"/>
  <c r="I39" i="35" s="1"/>
  <c r="F39" i="35"/>
  <c r="H39" i="35" s="1"/>
  <c r="G38" i="35"/>
  <c r="I38" i="35" s="1"/>
  <c r="F38" i="35"/>
  <c r="H38" i="35" s="1"/>
  <c r="G37" i="35"/>
  <c r="I37" i="35" s="1"/>
  <c r="F37" i="35"/>
  <c r="H37" i="35" s="1"/>
  <c r="I36" i="35"/>
  <c r="F36" i="35"/>
  <c r="H36" i="35" s="1"/>
  <c r="D21" i="40"/>
  <c r="E21" i="40" s="1"/>
  <c r="D20" i="40"/>
  <c r="E20" i="40" s="1"/>
  <c r="D244" i="31"/>
  <c r="D240" i="31"/>
  <c r="D221" i="31"/>
  <c r="D217" i="31"/>
  <c r="D205" i="31"/>
  <c r="D197" i="31"/>
  <c r="D193" i="31"/>
  <c r="D181" i="31"/>
  <c r="D173" i="31"/>
  <c r="D169" i="31"/>
  <c r="D149" i="31"/>
  <c r="D145" i="31"/>
  <c r="D119" i="31"/>
  <c r="D94" i="31" l="1"/>
  <c r="D288" i="31"/>
  <c r="D409" i="31" l="1"/>
  <c r="D300" i="31"/>
  <c r="D302" i="31"/>
  <c r="D312" i="31"/>
  <c r="D12" i="31"/>
  <c r="D337" i="31"/>
  <c r="D301" i="31"/>
  <c r="D317" i="31"/>
  <c r="D328" i="31"/>
  <c r="D412" i="31"/>
  <c r="D413" i="31"/>
  <c r="D63" i="31"/>
  <c r="D33" i="31"/>
  <c r="D53" i="31" l="1"/>
  <c r="C19" i="35"/>
  <c r="D13" i="31"/>
  <c r="F13" i="31" s="1"/>
  <c r="C31" i="39"/>
  <c r="D265" i="31" s="1"/>
  <c r="C32" i="39"/>
  <c r="D383" i="31" s="1"/>
  <c r="A19" i="38"/>
  <c r="AM79" i="18"/>
  <c r="AM78" i="18"/>
  <c r="AM77" i="18"/>
  <c r="AM76" i="18"/>
  <c r="AM75" i="18"/>
  <c r="AM74" i="18"/>
  <c r="AM73" i="18"/>
  <c r="AM72" i="18"/>
  <c r="AM71" i="18"/>
  <c r="AM70" i="18"/>
  <c r="AM69" i="18"/>
  <c r="I63" i="34"/>
  <c r="C7" i="35"/>
  <c r="C6" i="35"/>
  <c r="D270" i="31" s="1"/>
  <c r="C5" i="35"/>
  <c r="F265" i="31" l="1"/>
  <c r="G265" i="31"/>
  <c r="E265" i="31" s="1"/>
  <c r="D46" i="31"/>
  <c r="G46" i="31" s="1"/>
  <c r="D47" i="31" s="1"/>
  <c r="D440" i="31"/>
  <c r="F46" i="31"/>
  <c r="G270" i="31"/>
  <c r="D271" i="31" s="1"/>
  <c r="F270" i="31"/>
  <c r="G42" i="31"/>
  <c r="F42" i="31"/>
  <c r="D52" i="31"/>
  <c r="F440" i="31" l="1"/>
  <c r="G440" i="31"/>
  <c r="D438" i="31" s="1"/>
  <c r="E46" i="31"/>
  <c r="G271" i="31"/>
  <c r="AG38" i="18" s="1"/>
  <c r="F271" i="31"/>
  <c r="G47" i="31"/>
  <c r="F47" i="31"/>
  <c r="AA19" i="18"/>
  <c r="E42" i="31"/>
  <c r="B135" i="35"/>
  <c r="B136" i="35"/>
  <c r="B137" i="35"/>
  <c r="B138" i="35"/>
  <c r="B139" i="35"/>
  <c r="B140" i="35"/>
  <c r="B141" i="35"/>
  <c r="B142" i="35"/>
  <c r="B143" i="35"/>
  <c r="B144" i="35"/>
  <c r="B145" i="35"/>
  <c r="B146" i="35"/>
  <c r="B147" i="35"/>
  <c r="B148" i="35"/>
  <c r="B149" i="35"/>
  <c r="B150" i="35"/>
  <c r="B151" i="35"/>
  <c r="B152" i="35"/>
  <c r="B153" i="35"/>
  <c r="B154" i="35"/>
  <c r="B134" i="35"/>
  <c r="E152" i="35" l="1"/>
  <c r="I152" i="35"/>
  <c r="C152" i="35"/>
  <c r="F152" i="35"/>
  <c r="J152" i="35"/>
  <c r="G152" i="35"/>
  <c r="D152" i="35"/>
  <c r="H152" i="35"/>
  <c r="E148" i="35"/>
  <c r="I148" i="35"/>
  <c r="C148" i="35"/>
  <c r="F148" i="35"/>
  <c r="J148" i="35"/>
  <c r="G148" i="35"/>
  <c r="H148" i="35"/>
  <c r="D148" i="35"/>
  <c r="E144" i="35"/>
  <c r="I144" i="35"/>
  <c r="C144" i="35"/>
  <c r="F144" i="35"/>
  <c r="J144" i="35"/>
  <c r="G144" i="35"/>
  <c r="H144" i="35"/>
  <c r="D144" i="35"/>
  <c r="E140" i="35"/>
  <c r="I140" i="35"/>
  <c r="C140" i="35"/>
  <c r="F140" i="35"/>
  <c r="J140" i="35"/>
  <c r="G140" i="35"/>
  <c r="D140" i="35"/>
  <c r="H140" i="35"/>
  <c r="E136" i="35"/>
  <c r="I136" i="35"/>
  <c r="C136" i="35"/>
  <c r="F136" i="35"/>
  <c r="J136" i="35"/>
  <c r="G136" i="35"/>
  <c r="D136" i="35"/>
  <c r="H136" i="35"/>
  <c r="F149" i="35"/>
  <c r="J149" i="35"/>
  <c r="G149" i="35"/>
  <c r="C149" i="35"/>
  <c r="D149" i="35"/>
  <c r="H149" i="35"/>
  <c r="E149" i="35"/>
  <c r="I149" i="35"/>
  <c r="J134" i="35"/>
  <c r="F134" i="35"/>
  <c r="I134" i="35"/>
  <c r="E134" i="35"/>
  <c r="H134" i="35"/>
  <c r="D134" i="35"/>
  <c r="C134" i="35"/>
  <c r="G134" i="35"/>
  <c r="D151" i="35"/>
  <c r="H151" i="35"/>
  <c r="E151" i="35"/>
  <c r="I151" i="35"/>
  <c r="F151" i="35"/>
  <c r="J151" i="35"/>
  <c r="G151" i="35"/>
  <c r="C151" i="35"/>
  <c r="D147" i="35"/>
  <c r="H147" i="35"/>
  <c r="E147" i="35"/>
  <c r="I147" i="35"/>
  <c r="F147" i="35"/>
  <c r="J147" i="35"/>
  <c r="C147" i="35"/>
  <c r="G147" i="35"/>
  <c r="D143" i="35"/>
  <c r="H143" i="35"/>
  <c r="E143" i="35"/>
  <c r="I143" i="35"/>
  <c r="F143" i="35"/>
  <c r="J143" i="35"/>
  <c r="G143" i="35"/>
  <c r="C143" i="35"/>
  <c r="D139" i="35"/>
  <c r="H139" i="35"/>
  <c r="E139" i="35"/>
  <c r="I139" i="35"/>
  <c r="F139" i="35"/>
  <c r="J139" i="35"/>
  <c r="G139" i="35"/>
  <c r="C139" i="35"/>
  <c r="D135" i="35"/>
  <c r="H135" i="35"/>
  <c r="E135" i="35"/>
  <c r="I135" i="35"/>
  <c r="F135" i="35"/>
  <c r="J135" i="35"/>
  <c r="G135" i="35"/>
  <c r="C135" i="35"/>
  <c r="F438" i="31"/>
  <c r="F443" i="31" s="1"/>
  <c r="W58" i="18" s="1"/>
  <c r="G438" i="31"/>
  <c r="AG58" i="18" s="1"/>
  <c r="H62" i="34" s="1"/>
  <c r="F153" i="35"/>
  <c r="J153" i="35"/>
  <c r="G153" i="35"/>
  <c r="C153" i="35"/>
  <c r="D153" i="35"/>
  <c r="H153" i="35"/>
  <c r="I153" i="35"/>
  <c r="E153" i="35"/>
  <c r="F145" i="35"/>
  <c r="J145" i="35"/>
  <c r="G145" i="35"/>
  <c r="C145" i="35"/>
  <c r="D145" i="35"/>
  <c r="H145" i="35"/>
  <c r="E145" i="35"/>
  <c r="I145" i="35"/>
  <c r="F141" i="35"/>
  <c r="J141" i="35"/>
  <c r="G141" i="35"/>
  <c r="C141" i="35"/>
  <c r="D141" i="35"/>
  <c r="H141" i="35"/>
  <c r="E141" i="35"/>
  <c r="I141" i="35"/>
  <c r="F137" i="35"/>
  <c r="J137" i="35"/>
  <c r="G137" i="35"/>
  <c r="C137" i="35"/>
  <c r="D137" i="35"/>
  <c r="H137" i="35"/>
  <c r="I137" i="35"/>
  <c r="E137" i="35"/>
  <c r="G154" i="35"/>
  <c r="D154" i="35"/>
  <c r="H154" i="35"/>
  <c r="E154" i="35"/>
  <c r="I154" i="35"/>
  <c r="C154" i="35"/>
  <c r="F154" i="35"/>
  <c r="J154" i="35"/>
  <c r="G150" i="35"/>
  <c r="D150" i="35"/>
  <c r="H150" i="35"/>
  <c r="E150" i="35"/>
  <c r="I150" i="35"/>
  <c r="C150" i="35"/>
  <c r="J150" i="35"/>
  <c r="F150" i="35"/>
  <c r="G146" i="35"/>
  <c r="D146" i="35"/>
  <c r="H146" i="35"/>
  <c r="E146" i="35"/>
  <c r="I146" i="35"/>
  <c r="C146" i="35"/>
  <c r="J146" i="35"/>
  <c r="F146" i="35"/>
  <c r="G142" i="35"/>
  <c r="D142" i="35"/>
  <c r="H142" i="35"/>
  <c r="E142" i="35"/>
  <c r="I142" i="35"/>
  <c r="C142" i="35"/>
  <c r="F142" i="35"/>
  <c r="J142" i="35"/>
  <c r="G138" i="35"/>
  <c r="D138" i="35"/>
  <c r="H138" i="35"/>
  <c r="E138" i="35"/>
  <c r="I138" i="35"/>
  <c r="C138" i="35"/>
  <c r="F138" i="35"/>
  <c r="J138" i="35"/>
  <c r="AG19" i="18"/>
  <c r="H27" i="34" s="1"/>
  <c r="E47" i="31"/>
  <c r="H46" i="34"/>
  <c r="BU6" i="20"/>
  <c r="BU36" i="20" s="1"/>
  <c r="G63" i="31"/>
  <c r="D62" i="31"/>
  <c r="G62" i="31" s="1"/>
  <c r="AA20" i="18" s="1"/>
  <c r="AI50" i="18"/>
  <c r="C155" i="35" l="1"/>
  <c r="C156" i="35" s="1"/>
  <c r="D155" i="35"/>
  <c r="D156" i="35" s="1"/>
  <c r="D157" i="35" s="1"/>
  <c r="R11" i="18"/>
  <c r="R37" i="18" s="1"/>
  <c r="U37" i="18" s="1"/>
  <c r="H11" i="18"/>
  <c r="N11" i="18"/>
  <c r="J11" i="18"/>
  <c r="L11" i="18"/>
  <c r="P11" i="18"/>
  <c r="T11" i="18"/>
  <c r="F62" i="31"/>
  <c r="F63" i="31"/>
  <c r="E63" i="31" s="1"/>
  <c r="C157" i="35" l="1"/>
  <c r="C18" i="35"/>
  <c r="T39" i="18"/>
  <c r="U39" i="18" s="1"/>
  <c r="V39" i="18" s="1"/>
  <c r="AD39" i="18" s="1"/>
  <c r="T22" i="18"/>
  <c r="P35" i="18"/>
  <c r="U35" i="18" s="1"/>
  <c r="P22" i="18"/>
  <c r="L31" i="18"/>
  <c r="U31" i="18" s="1"/>
  <c r="L22" i="18"/>
  <c r="J29" i="18"/>
  <c r="U29" i="18" s="1"/>
  <c r="J22" i="18"/>
  <c r="N33" i="18"/>
  <c r="U33" i="18" s="1"/>
  <c r="N22" i="18"/>
  <c r="H27" i="18"/>
  <c r="U27" i="18" s="1"/>
  <c r="H22" i="18"/>
  <c r="E62" i="31"/>
  <c r="I282" i="31" l="1"/>
  <c r="J282" i="31" s="1"/>
  <c r="AH39" i="18"/>
  <c r="AB39" i="18"/>
  <c r="G86" i="34"/>
  <c r="G47" i="34"/>
  <c r="I47" i="34" s="1"/>
  <c r="D120" i="31"/>
  <c r="F120" i="31" s="1"/>
  <c r="K282" i="31" l="1"/>
  <c r="L282" i="31"/>
  <c r="AJ39" i="18" s="1"/>
  <c r="I17" i="35"/>
  <c r="H17" i="35"/>
  <c r="G17" i="35"/>
  <c r="F17" i="35"/>
  <c r="E17" i="35"/>
  <c r="G120" i="31"/>
  <c r="E120" i="31" s="1"/>
  <c r="D17" i="35" l="1"/>
  <c r="J17" i="35"/>
  <c r="D252" i="31" l="1"/>
  <c r="D229" i="31"/>
  <c r="D157" i="31"/>
  <c r="D132" i="31"/>
  <c r="D107" i="31"/>
  <c r="A25" i="38" l="1"/>
  <c r="A24" i="38"/>
  <c r="A23" i="38"/>
  <c r="A22" i="38"/>
  <c r="A21" i="38"/>
  <c r="A20" i="38"/>
  <c r="D211" i="31"/>
  <c r="D235" i="31"/>
  <c r="D258" i="31"/>
  <c r="G258" i="31" s="1"/>
  <c r="D255" i="31"/>
  <c r="G255" i="31" s="1"/>
  <c r="D254" i="31"/>
  <c r="G254" i="31" s="1"/>
  <c r="F252" i="31"/>
  <c r="AC37" i="18" l="1"/>
  <c r="G252" i="31"/>
  <c r="F258" i="31"/>
  <c r="F255" i="31"/>
  <c r="E255" i="31" s="1"/>
  <c r="D259" i="31"/>
  <c r="F254" i="31"/>
  <c r="E252" i="31" l="1"/>
  <c r="AA37" i="18"/>
  <c r="G259" i="31"/>
  <c r="G260" i="31" s="1"/>
  <c r="F259" i="31"/>
  <c r="F260" i="31" s="1"/>
  <c r="AG37" i="18" s="1"/>
  <c r="H45" i="34" s="1"/>
  <c r="E254" i="31"/>
  <c r="D232" i="31"/>
  <c r="F232" i="31" s="1"/>
  <c r="D231" i="31"/>
  <c r="G231" i="31" s="1"/>
  <c r="G235" i="31"/>
  <c r="F235" i="31"/>
  <c r="F229" i="31"/>
  <c r="F211" i="31"/>
  <c r="D208" i="31"/>
  <c r="G208" i="31" s="1"/>
  <c r="D207" i="31"/>
  <c r="F207" i="31" s="1"/>
  <c r="G205" i="31"/>
  <c r="AA33" i="18" s="1"/>
  <c r="D187" i="31"/>
  <c r="G187" i="31" s="1"/>
  <c r="D184" i="31"/>
  <c r="G184" i="31" s="1"/>
  <c r="D183" i="31"/>
  <c r="G183" i="31" s="1"/>
  <c r="F181" i="31"/>
  <c r="D160" i="31"/>
  <c r="G160" i="31" s="1"/>
  <c r="D159" i="31"/>
  <c r="G159" i="31" s="1"/>
  <c r="D113" i="31"/>
  <c r="D135" i="31"/>
  <c r="F135" i="31" s="1"/>
  <c r="D134" i="31"/>
  <c r="G134" i="31" s="1"/>
  <c r="G157" i="31"/>
  <c r="AA29" i="18" s="1"/>
  <c r="F132" i="31"/>
  <c r="AC31" i="18" l="1"/>
  <c r="AC29" i="18"/>
  <c r="G232" i="31"/>
  <c r="E232" i="31" s="1"/>
  <c r="G207" i="31"/>
  <c r="AC33" i="18" s="1"/>
  <c r="G229" i="31"/>
  <c r="D236" i="31"/>
  <c r="F231" i="31"/>
  <c r="G211" i="31"/>
  <c r="D212" i="31" s="1"/>
  <c r="F208" i="31"/>
  <c r="E208" i="31" s="1"/>
  <c r="F205" i="31"/>
  <c r="E205" i="31" s="1"/>
  <c r="F187" i="31"/>
  <c r="G181" i="31"/>
  <c r="F184" i="31"/>
  <c r="E184" i="31" s="1"/>
  <c r="F183" i="31"/>
  <c r="D188" i="31"/>
  <c r="F157" i="31"/>
  <c r="E157" i="31" s="1"/>
  <c r="F160" i="31"/>
  <c r="E160" i="31" s="1"/>
  <c r="F159" i="31"/>
  <c r="E159" i="31" s="1"/>
  <c r="G135" i="31"/>
  <c r="E135" i="31" s="1"/>
  <c r="G132" i="31"/>
  <c r="AA27" i="18" s="1"/>
  <c r="F134" i="31"/>
  <c r="E134" i="31" s="1"/>
  <c r="AC35" i="18" l="1"/>
  <c r="E229" i="31"/>
  <c r="AA35" i="18"/>
  <c r="E207" i="31"/>
  <c r="E181" i="31"/>
  <c r="AA31" i="18"/>
  <c r="AC27" i="18"/>
  <c r="G236" i="31"/>
  <c r="G237" i="31" s="1"/>
  <c r="F236" i="31"/>
  <c r="F237" i="31" s="1"/>
  <c r="AG35" i="18" s="1"/>
  <c r="H43" i="34" s="1"/>
  <c r="E231" i="31"/>
  <c r="G212" i="31"/>
  <c r="G213" i="31" s="1"/>
  <c r="F212" i="31"/>
  <c r="F213" i="31" s="1"/>
  <c r="AG33" i="18" s="1"/>
  <c r="H41" i="34" s="1"/>
  <c r="G188" i="31"/>
  <c r="G189" i="31" s="1"/>
  <c r="F188" i="31"/>
  <c r="F189" i="31" s="1"/>
  <c r="AG31" i="18" s="1"/>
  <c r="E183" i="31"/>
  <c r="E132" i="31"/>
  <c r="D109" i="31" l="1"/>
  <c r="G109" i="31" s="1"/>
  <c r="D110" i="31"/>
  <c r="G110" i="31" s="1"/>
  <c r="F113" i="31"/>
  <c r="G107" i="31"/>
  <c r="AA25" i="18" s="1"/>
  <c r="AC25" i="18" l="1"/>
  <c r="F109" i="31"/>
  <c r="E109" i="31" s="1"/>
  <c r="F107" i="31"/>
  <c r="E107" i="31" s="1"/>
  <c r="G113" i="31"/>
  <c r="D114" i="31" s="1"/>
  <c r="F110" i="31"/>
  <c r="E110" i="31" s="1"/>
  <c r="G114" i="31" l="1"/>
  <c r="G115" i="31" s="1"/>
  <c r="F114" i="31"/>
  <c r="F115" i="31" s="1"/>
  <c r="AG25" i="18" s="1"/>
  <c r="H33" i="34" l="1"/>
  <c r="J155" i="35" l="1"/>
  <c r="J156" i="35" s="1"/>
  <c r="J157" i="35" s="1"/>
  <c r="H155" i="35"/>
  <c r="H156" i="35" s="1"/>
  <c r="H157" i="35" s="1"/>
  <c r="F155" i="35"/>
  <c r="F156" i="35" s="1"/>
  <c r="F157" i="35" s="1"/>
  <c r="I155" i="35"/>
  <c r="I156" i="35" s="1"/>
  <c r="I157" i="35" s="1"/>
  <c r="E155" i="35"/>
  <c r="E156" i="35" s="1"/>
  <c r="E157" i="35" s="1"/>
  <c r="G155" i="35"/>
  <c r="G156" i="35" s="1"/>
  <c r="G157" i="35" s="1"/>
  <c r="C20" i="39"/>
  <c r="C19" i="39"/>
  <c r="D65" i="31" l="1"/>
  <c r="G65" i="31" s="1"/>
  <c r="AC20" i="18" s="1"/>
  <c r="D45" i="31"/>
  <c r="C24" i="35"/>
  <c r="F65" i="31" l="1"/>
  <c r="E65" i="31" s="1"/>
  <c r="F45" i="31"/>
  <c r="G45" i="31"/>
  <c r="D18" i="35"/>
  <c r="E18" i="35" s="1"/>
  <c r="AC19" i="18" l="1"/>
  <c r="E45" i="31"/>
  <c r="D24" i="35"/>
  <c r="F18" i="35"/>
  <c r="E24" i="35"/>
  <c r="G288" i="31"/>
  <c r="F288" i="31"/>
  <c r="G18" i="35" l="1"/>
  <c r="F24" i="35"/>
  <c r="E288" i="31"/>
  <c r="AA40" i="18"/>
  <c r="BL6" i="20" l="1"/>
  <c r="BL36" i="20" s="1"/>
  <c r="V136" i="34" s="1"/>
  <c r="Y6" i="20"/>
  <c r="Q36" i="20"/>
  <c r="BM6" i="20"/>
  <c r="AI6" i="20"/>
  <c r="AH6" i="20"/>
  <c r="AH36" i="20" s="1"/>
  <c r="AH37" i="20" s="1"/>
  <c r="H18" i="35"/>
  <c r="G24" i="35"/>
  <c r="C138" i="34" l="1"/>
  <c r="V138" i="34"/>
  <c r="I110" i="34" s="1"/>
  <c r="F126" i="34" s="1"/>
  <c r="AI36" i="20"/>
  <c r="AI37" i="20" s="1"/>
  <c r="BL37" i="20"/>
  <c r="I18" i="35"/>
  <c r="H24" i="35"/>
  <c r="D386" i="31"/>
  <c r="D376" i="31"/>
  <c r="D330" i="31"/>
  <c r="D329" i="31"/>
  <c r="D318" i="31"/>
  <c r="D315" i="31"/>
  <c r="D297" i="31"/>
  <c r="J18" i="35" l="1"/>
  <c r="J24" i="35" s="1"/>
  <c r="I24" i="35"/>
  <c r="D325" i="31"/>
  <c r="D298" i="31"/>
  <c r="A43" i="39" l="1"/>
  <c r="A42" i="39"/>
  <c r="D420" i="31" l="1"/>
  <c r="F420" i="31" s="1"/>
  <c r="D401" i="31"/>
  <c r="F401" i="31" s="1"/>
  <c r="D393" i="31"/>
  <c r="D374" i="31"/>
  <c r="D373" i="31"/>
  <c r="D364" i="31"/>
  <c r="D363" i="31"/>
  <c r="D355" i="31"/>
  <c r="D347" i="31"/>
  <c r="D338" i="31"/>
  <c r="D316" i="31"/>
  <c r="D299" i="31"/>
  <c r="D85" i="31"/>
  <c r="D84" i="31"/>
  <c r="D83" i="31"/>
  <c r="D73" i="31"/>
  <c r="D72" i="31"/>
  <c r="D296" i="31"/>
  <c r="D331" i="31" l="1"/>
  <c r="D319" i="31"/>
  <c r="D35" i="31"/>
  <c r="D414" i="31"/>
  <c r="D86" i="31"/>
  <c r="D75" i="31"/>
  <c r="D55" i="31"/>
  <c r="D303" i="31"/>
  <c r="F169" i="31"/>
  <c r="G169" i="31"/>
  <c r="D146" i="31"/>
  <c r="D218" i="31"/>
  <c r="D170" i="31"/>
  <c r="D95" i="31"/>
  <c r="D32" i="31"/>
  <c r="D241" i="31"/>
  <c r="D194" i="31"/>
  <c r="D384" i="31"/>
  <c r="D74" i="31"/>
  <c r="D220" i="31"/>
  <c r="D172" i="31"/>
  <c r="D122" i="31"/>
  <c r="D97" i="31"/>
  <c r="D243" i="31"/>
  <c r="D196" i="31"/>
  <c r="D148" i="31"/>
  <c r="G95" i="31" l="1"/>
  <c r="F95" i="31"/>
  <c r="F170" i="31"/>
  <c r="G170" i="31"/>
  <c r="E169" i="31"/>
  <c r="D26" i="31" l="1"/>
  <c r="C4" i="35"/>
  <c r="D66" i="31"/>
  <c r="G66" i="31" l="1"/>
  <c r="F66" i="31"/>
  <c r="D20" i="31"/>
  <c r="D138" i="31"/>
  <c r="D163" i="31"/>
  <c r="D290" i="31"/>
  <c r="D246" i="31"/>
  <c r="D223" i="31"/>
  <c r="D366" i="31"/>
  <c r="F366" i="31" s="1"/>
  <c r="F301" i="31"/>
  <c r="G97" i="31"/>
  <c r="AC24" i="18" s="1"/>
  <c r="G86" i="31"/>
  <c r="G83" i="31"/>
  <c r="AA23" i="18" s="1"/>
  <c r="F35" i="31"/>
  <c r="F33" i="31"/>
  <c r="C165" i="34"/>
  <c r="E165" i="34" s="1"/>
  <c r="C164" i="34"/>
  <c r="D164" i="34" s="1"/>
  <c r="N155" i="34"/>
  <c r="O155" i="34" s="1"/>
  <c r="L155" i="34"/>
  <c r="N154" i="34"/>
  <c r="O154" i="34" s="1"/>
  <c r="L154" i="34"/>
  <c r="N153" i="34"/>
  <c r="O153" i="34" s="1"/>
  <c r="L153" i="34"/>
  <c r="N152" i="34"/>
  <c r="O152" i="34" s="1"/>
  <c r="L152" i="34"/>
  <c r="N151" i="34"/>
  <c r="O151" i="34" s="1"/>
  <c r="L151" i="34"/>
  <c r="N150" i="34"/>
  <c r="L150" i="34"/>
  <c r="N149" i="34"/>
  <c r="O149" i="34" s="1"/>
  <c r="L149" i="34"/>
  <c r="N148" i="34"/>
  <c r="O148" i="34" s="1"/>
  <c r="F393" i="31"/>
  <c r="G364" i="31"/>
  <c r="F363" i="31"/>
  <c r="G338" i="31"/>
  <c r="AC44" i="18" s="1"/>
  <c r="G325" i="31"/>
  <c r="AA43" i="18" s="1"/>
  <c r="G297" i="31"/>
  <c r="G94" i="31"/>
  <c r="F12" i="31"/>
  <c r="K36" i="20"/>
  <c r="K37" i="20" s="1"/>
  <c r="G49" i="20"/>
  <c r="N44" i="20"/>
  <c r="N40" i="20" s="1"/>
  <c r="G296" i="31"/>
  <c r="AA41" i="18" s="1"/>
  <c r="F193" i="31"/>
  <c r="C36" i="18"/>
  <c r="C34" i="18"/>
  <c r="C32" i="18"/>
  <c r="C30" i="18"/>
  <c r="C28" i="18"/>
  <c r="C26" i="18"/>
  <c r="C24" i="18"/>
  <c r="F413" i="31"/>
  <c r="F412" i="31"/>
  <c r="G386" i="31"/>
  <c r="G330" i="31"/>
  <c r="G328" i="31"/>
  <c r="G317" i="31"/>
  <c r="F316" i="31"/>
  <c r="F302" i="31"/>
  <c r="F196" i="31"/>
  <c r="F148" i="31"/>
  <c r="G122" i="31"/>
  <c r="AC26" i="18" s="1"/>
  <c r="F97" i="31"/>
  <c r="G84" i="31"/>
  <c r="G53" i="31"/>
  <c r="G52" i="31"/>
  <c r="G32" i="31"/>
  <c r="F52" i="31"/>
  <c r="F374" i="31"/>
  <c r="G240" i="31"/>
  <c r="C299" i="31"/>
  <c r="M17" i="18"/>
  <c r="O17" i="18"/>
  <c r="U56" i="18"/>
  <c r="V56" i="18" s="1"/>
  <c r="K54" i="18"/>
  <c r="Q51" i="18"/>
  <c r="Q52" i="18" s="1"/>
  <c r="G51" i="18"/>
  <c r="G52" i="18" s="1"/>
  <c r="C348" i="31"/>
  <c r="C356" i="31"/>
  <c r="G298" i="31"/>
  <c r="W6" i="20"/>
  <c r="W36" i="20" s="1"/>
  <c r="V6" i="20"/>
  <c r="V36" i="20" s="1"/>
  <c r="U6" i="20"/>
  <c r="U36" i="20" s="1"/>
  <c r="T6" i="20"/>
  <c r="T36" i="20" s="1"/>
  <c r="S6" i="20"/>
  <c r="S36" i="20" s="1"/>
  <c r="R6" i="20"/>
  <c r="E21" i="18"/>
  <c r="G300" i="31"/>
  <c r="AA38" i="31"/>
  <c r="Q54" i="18"/>
  <c r="M54" i="18"/>
  <c r="O54" i="18"/>
  <c r="F347" i="31"/>
  <c r="F364" i="31"/>
  <c r="G329" i="31"/>
  <c r="F243" i="31"/>
  <c r="G172" i="31"/>
  <c r="AC30" i="18" s="1"/>
  <c r="G241" i="31"/>
  <c r="G242" i="31"/>
  <c r="G244" i="31"/>
  <c r="F241" i="31"/>
  <c r="F242" i="31"/>
  <c r="F244" i="31"/>
  <c r="F218" i="31"/>
  <c r="F219" i="31"/>
  <c r="F221" i="31"/>
  <c r="G221" i="31"/>
  <c r="G219" i="31"/>
  <c r="G218" i="31"/>
  <c r="G194" i="31"/>
  <c r="G195" i="31"/>
  <c r="G197" i="31"/>
  <c r="F194" i="31"/>
  <c r="F195" i="31"/>
  <c r="F197" i="31"/>
  <c r="G171" i="31"/>
  <c r="G173" i="31"/>
  <c r="F171" i="31"/>
  <c r="F173" i="31"/>
  <c r="G146" i="31"/>
  <c r="G147" i="31"/>
  <c r="G149" i="31"/>
  <c r="F146" i="31"/>
  <c r="F147" i="31"/>
  <c r="F149" i="31"/>
  <c r="G121" i="31"/>
  <c r="F123" i="31"/>
  <c r="F121" i="31"/>
  <c r="F98" i="31"/>
  <c r="F96" i="31"/>
  <c r="G96" i="31"/>
  <c r="G98" i="31"/>
  <c r="F145" i="31"/>
  <c r="F83" i="31"/>
  <c r="G123" i="31"/>
  <c r="G145" i="31"/>
  <c r="G193" i="31"/>
  <c r="F25" i="33"/>
  <c r="A14" i="18"/>
  <c r="A15" i="18"/>
  <c r="A16" i="18" s="1"/>
  <c r="A17" i="18" s="1"/>
  <c r="A18" i="18" s="1"/>
  <c r="A21" i="18"/>
  <c r="A23" i="18" s="1"/>
  <c r="A24" i="18" s="1"/>
  <c r="A26" i="18" s="1"/>
  <c r="E17" i="18"/>
  <c r="Q17" i="18"/>
  <c r="E51" i="18"/>
  <c r="E52" i="18" s="1"/>
  <c r="I51" i="18"/>
  <c r="I52" i="18" s="1"/>
  <c r="K51" i="18"/>
  <c r="K52" i="18" s="1"/>
  <c r="M51" i="18"/>
  <c r="M52" i="18" s="1"/>
  <c r="O51" i="18"/>
  <c r="O52" i="18" s="1"/>
  <c r="I10" i="34"/>
  <c r="I11" i="34" s="1"/>
  <c r="I13" i="34"/>
  <c r="I14" i="34"/>
  <c r="H110" i="34"/>
  <c r="F296" i="31"/>
  <c r="G220" i="31"/>
  <c r="F220" i="31"/>
  <c r="F329" i="31"/>
  <c r="F298" i="31"/>
  <c r="G243" i="31"/>
  <c r="F84" i="31"/>
  <c r="G347" i="31"/>
  <c r="F330" i="31"/>
  <c r="F172" i="31"/>
  <c r="F300" i="31"/>
  <c r="G393" i="31"/>
  <c r="AA53" i="18" s="1"/>
  <c r="G374" i="31"/>
  <c r="G12" i="31"/>
  <c r="F122" i="31"/>
  <c r="F53" i="31"/>
  <c r="F317" i="31"/>
  <c r="G148" i="31"/>
  <c r="G302" i="31"/>
  <c r="F240" i="31"/>
  <c r="G316" i="31"/>
  <c r="F328" i="31"/>
  <c r="G383" i="31"/>
  <c r="F383" i="31"/>
  <c r="F318" i="31"/>
  <c r="G318" i="31"/>
  <c r="F386" i="31"/>
  <c r="F338" i="31"/>
  <c r="F74" i="31"/>
  <c r="G74" i="31"/>
  <c r="G413" i="31"/>
  <c r="G35" i="31"/>
  <c r="F72" i="31"/>
  <c r="G72" i="31"/>
  <c r="AA22" i="18" s="1"/>
  <c r="G412" i="31"/>
  <c r="G196" i="31"/>
  <c r="F94" i="31"/>
  <c r="F325" i="31"/>
  <c r="G363" i="31"/>
  <c r="F85" i="31"/>
  <c r="G85" i="31"/>
  <c r="G312" i="31"/>
  <c r="AA42" i="18" s="1"/>
  <c r="F312" i="31"/>
  <c r="G401" i="31"/>
  <c r="AA54" i="18" s="1"/>
  <c r="G73" i="31"/>
  <c r="F73" i="31"/>
  <c r="G376" i="31"/>
  <c r="AC48" i="18" s="1"/>
  <c r="F376" i="31"/>
  <c r="L148" i="34"/>
  <c r="G55" i="31"/>
  <c r="F55" i="31"/>
  <c r="G75" i="31"/>
  <c r="F75" i="31"/>
  <c r="F86" i="31"/>
  <c r="F217" i="31"/>
  <c r="G217" i="31"/>
  <c r="AA34" i="18" s="1"/>
  <c r="F315" i="31"/>
  <c r="G315" i="31"/>
  <c r="G355" i="31"/>
  <c r="AA46" i="18" s="1"/>
  <c r="F355" i="31"/>
  <c r="G373" i="31"/>
  <c r="F373" i="31"/>
  <c r="F384" i="31"/>
  <c r="G384" i="31"/>
  <c r="G420" i="31"/>
  <c r="AA56" i="18" s="1"/>
  <c r="G33" i="31"/>
  <c r="F297" i="31"/>
  <c r="AA30" i="18"/>
  <c r="G301" i="31"/>
  <c r="AJ6" i="20" l="1"/>
  <c r="AJ36" i="20" s="1"/>
  <c r="AJ37" i="20" s="1"/>
  <c r="R36" i="20"/>
  <c r="Q38" i="20" s="1"/>
  <c r="AC22" i="18"/>
  <c r="AA47" i="18"/>
  <c r="BP6" i="20"/>
  <c r="AL6" i="20"/>
  <c r="AL36" i="20" s="1"/>
  <c r="AL37" i="20" s="1"/>
  <c r="AD6" i="20"/>
  <c r="AD36" i="20" s="1"/>
  <c r="AD37" i="20" s="1"/>
  <c r="AM6" i="20"/>
  <c r="AM36" i="20" s="1"/>
  <c r="AM37" i="20" s="1"/>
  <c r="AB6" i="20"/>
  <c r="AB36" i="20" s="1"/>
  <c r="AB37" i="20" s="1"/>
  <c r="AK6" i="20"/>
  <c r="AK36" i="20" s="1"/>
  <c r="AK37" i="20" s="1"/>
  <c r="BR6" i="20"/>
  <c r="AN6" i="20"/>
  <c r="AN36" i="20" s="1"/>
  <c r="AN37" i="20" s="1"/>
  <c r="AF6" i="20"/>
  <c r="AF36" i="20" s="1"/>
  <c r="AF37" i="20" s="1"/>
  <c r="AO6" i="20"/>
  <c r="AO36" i="20" s="1"/>
  <c r="AO37" i="20" s="1"/>
  <c r="D67" i="31"/>
  <c r="F67" i="31" s="1"/>
  <c r="E86" i="31"/>
  <c r="AA48" i="18"/>
  <c r="AC32" i="18"/>
  <c r="AC28" i="18"/>
  <c r="AC34" i="18"/>
  <c r="AC36" i="18"/>
  <c r="E66" i="31"/>
  <c r="AD56" i="18"/>
  <c r="I422" i="31"/>
  <c r="K422" i="31" s="1"/>
  <c r="E164" i="34"/>
  <c r="C170" i="34" s="1"/>
  <c r="D170" i="34" s="1"/>
  <c r="F163" i="31"/>
  <c r="G163" i="31"/>
  <c r="F138" i="31"/>
  <c r="G138" i="31"/>
  <c r="D139" i="31" s="1"/>
  <c r="G290" i="31"/>
  <c r="D291" i="31" s="1"/>
  <c r="F290" i="31"/>
  <c r="G100" i="34"/>
  <c r="E97" i="31"/>
  <c r="C53" i="20"/>
  <c r="BO6" i="20"/>
  <c r="C47" i="20"/>
  <c r="C48" i="20" s="1"/>
  <c r="BC6" i="20"/>
  <c r="BC36" i="20" s="1"/>
  <c r="BC37" i="20" s="1"/>
  <c r="C52" i="20"/>
  <c r="G48" i="20"/>
  <c r="G50" i="20" s="1"/>
  <c r="BS6" i="20"/>
  <c r="E193" i="31"/>
  <c r="AA32" i="18"/>
  <c r="E301" i="31"/>
  <c r="E302" i="31"/>
  <c r="I15" i="34"/>
  <c r="AS6" i="20"/>
  <c r="AS36" i="20" s="1"/>
  <c r="AS37" i="20" s="1"/>
  <c r="AT6" i="20"/>
  <c r="AT36" i="20" s="1"/>
  <c r="AT37" i="20" s="1"/>
  <c r="BG6" i="20"/>
  <c r="BG36" i="20" s="1"/>
  <c r="BG37" i="20" s="1"/>
  <c r="AV6" i="20"/>
  <c r="AV36" i="20" s="1"/>
  <c r="AV37" i="20" s="1"/>
  <c r="AX6" i="20"/>
  <c r="AX36" i="20" s="1"/>
  <c r="AX37" i="20" s="1"/>
  <c r="AA6" i="20"/>
  <c r="AA36" i="20" s="1"/>
  <c r="AA37" i="20" s="1"/>
  <c r="C49" i="20"/>
  <c r="AE6" i="20"/>
  <c r="AE36" i="20" s="1"/>
  <c r="AE37" i="20" s="1"/>
  <c r="BN6" i="20"/>
  <c r="BF6" i="20"/>
  <c r="BF36" i="20" s="1"/>
  <c r="BF37" i="20" s="1"/>
  <c r="BE6" i="20"/>
  <c r="BE36" i="20" s="1"/>
  <c r="BE37" i="20" s="1"/>
  <c r="BB6" i="20"/>
  <c r="BB36" i="20" s="1"/>
  <c r="BB37" i="20" s="1"/>
  <c r="BQ6" i="20"/>
  <c r="Y36" i="20"/>
  <c r="Y37" i="20" s="1"/>
  <c r="AQ6" i="20"/>
  <c r="AQ36" i="20" s="1"/>
  <c r="AQ37" i="20" s="1"/>
  <c r="BD6" i="20"/>
  <c r="BD36" i="20" s="1"/>
  <c r="BD37" i="20" s="1"/>
  <c r="AU6" i="20"/>
  <c r="AU36" i="20" s="1"/>
  <c r="AU37" i="20" s="1"/>
  <c r="AC6" i="20"/>
  <c r="AC36" i="20" s="1"/>
  <c r="AC37" i="20" s="1"/>
  <c r="AZ6" i="20"/>
  <c r="AZ36" i="20" s="1"/>
  <c r="AZ37" i="20" s="1"/>
  <c r="G366" i="31"/>
  <c r="E376" i="31"/>
  <c r="AW6" i="20"/>
  <c r="AW36" i="20" s="1"/>
  <c r="AW37" i="20" s="1"/>
  <c r="E384" i="31"/>
  <c r="E73" i="31"/>
  <c r="E219" i="31"/>
  <c r="E355" i="31"/>
  <c r="E75" i="31"/>
  <c r="E195" i="31"/>
  <c r="E83" i="31"/>
  <c r="E383" i="31"/>
  <c r="E318" i="31"/>
  <c r="AC17" i="18"/>
  <c r="E393" i="31"/>
  <c r="E297" i="31"/>
  <c r="AC18" i="18"/>
  <c r="E85" i="31"/>
  <c r="AC21" i="18"/>
  <c r="E148" i="31"/>
  <c r="G61" i="34"/>
  <c r="E147" i="31"/>
  <c r="D165" i="34"/>
  <c r="E330" i="31"/>
  <c r="E52" i="31"/>
  <c r="E312" i="31"/>
  <c r="E35" i="31"/>
  <c r="E316" i="31"/>
  <c r="AA36" i="18"/>
  <c r="E240" i="31"/>
  <c r="E296" i="31"/>
  <c r="E95" i="31"/>
  <c r="E300" i="31"/>
  <c r="E53" i="31"/>
  <c r="E244" i="31"/>
  <c r="AA17" i="18"/>
  <c r="E55" i="31"/>
  <c r="E221" i="31"/>
  <c r="F32" i="31"/>
  <c r="E32" i="31" s="1"/>
  <c r="E84" i="31"/>
  <c r="E328" i="31"/>
  <c r="E218" i="31"/>
  <c r="E374" i="31"/>
  <c r="E123" i="31"/>
  <c r="E194" i="31"/>
  <c r="E146" i="31"/>
  <c r="E241" i="31"/>
  <c r="E363" i="31"/>
  <c r="E298" i="31"/>
  <c r="E325" i="31"/>
  <c r="E338" i="31"/>
  <c r="E373" i="31"/>
  <c r="AC49" i="18"/>
  <c r="E386" i="31"/>
  <c r="G337" i="31"/>
  <c r="AA44" i="18" s="1"/>
  <c r="F337" i="31"/>
  <c r="E315" i="31"/>
  <c r="E217" i="31"/>
  <c r="AC23" i="18"/>
  <c r="G331" i="31"/>
  <c r="AC43" i="18" s="1"/>
  <c r="G303" i="31"/>
  <c r="F303" i="31"/>
  <c r="E172" i="31"/>
  <c r="E170" i="31"/>
  <c r="E364" i="31"/>
  <c r="J8" i="18"/>
  <c r="J59" i="18" s="1"/>
  <c r="F119" i="31"/>
  <c r="G119" i="31"/>
  <c r="N156" i="34"/>
  <c r="E196" i="31"/>
  <c r="E173" i="31"/>
  <c r="O150" i="34"/>
  <c r="O156" i="34" s="1"/>
  <c r="E96" i="31"/>
  <c r="E121" i="31"/>
  <c r="E242" i="31"/>
  <c r="E243" i="31"/>
  <c r="BA6" i="20"/>
  <c r="BA36" i="20" s="1"/>
  <c r="BA37" i="20" s="1"/>
  <c r="AR6" i="20"/>
  <c r="AR36" i="20" s="1"/>
  <c r="AR37" i="20" s="1"/>
  <c r="Z6" i="20"/>
  <c r="Z36" i="20" s="1"/>
  <c r="Z37" i="20" s="1"/>
  <c r="AA24" i="18"/>
  <c r="E94" i="31"/>
  <c r="T8" i="18"/>
  <c r="T59" i="18" s="1"/>
  <c r="F299" i="31"/>
  <c r="G299" i="31"/>
  <c r="AA18" i="18"/>
  <c r="L37" i="20"/>
  <c r="E220" i="31"/>
  <c r="A28" i="18"/>
  <c r="A30" i="18" s="1"/>
  <c r="A32" i="18" s="1"/>
  <c r="A34" i="18" s="1"/>
  <c r="A42" i="18"/>
  <c r="A43" i="18" s="1"/>
  <c r="A40" i="18" s="1"/>
  <c r="E145" i="31"/>
  <c r="AA28" i="18"/>
  <c r="E149" i="31"/>
  <c r="E171" i="31"/>
  <c r="E197" i="31"/>
  <c r="E329" i="31"/>
  <c r="E74" i="31"/>
  <c r="E317" i="31"/>
  <c r="AB56" i="18"/>
  <c r="AA21" i="18"/>
  <c r="E72" i="31"/>
  <c r="E347" i="31"/>
  <c r="AA45" i="18"/>
  <c r="AA49" i="18"/>
  <c r="E122" i="31"/>
  <c r="E33" i="31"/>
  <c r="BO36" i="20" l="1"/>
  <c r="L9" i="18" s="1"/>
  <c r="L48" i="18" s="1"/>
  <c r="BO37" i="20"/>
  <c r="L10" i="18" s="1"/>
  <c r="BN37" i="20"/>
  <c r="J10" i="18" s="1"/>
  <c r="BN36" i="20"/>
  <c r="J9" i="18" s="1"/>
  <c r="J48" i="18" s="1"/>
  <c r="BR36" i="20"/>
  <c r="R9" i="18" s="1"/>
  <c r="R48" i="18" s="1"/>
  <c r="BR37" i="20"/>
  <c r="R10" i="18" s="1"/>
  <c r="BS36" i="20"/>
  <c r="T9" i="18" s="1"/>
  <c r="T48" i="18" s="1"/>
  <c r="BS37" i="20"/>
  <c r="T10" i="18" s="1"/>
  <c r="BP36" i="20"/>
  <c r="N9" i="18" s="1"/>
  <c r="N48" i="18" s="1"/>
  <c r="BP37" i="20"/>
  <c r="N10" i="18" s="1"/>
  <c r="BQ36" i="20"/>
  <c r="P9" i="18" s="1"/>
  <c r="P48" i="18" s="1"/>
  <c r="BQ37" i="20"/>
  <c r="P10" i="18" s="1"/>
  <c r="T52" i="18" s="1"/>
  <c r="BM36" i="20"/>
  <c r="H9" i="18" s="1"/>
  <c r="H47" i="18" s="1"/>
  <c r="BM37" i="20"/>
  <c r="H10" i="18" s="1"/>
  <c r="C145" i="34"/>
  <c r="J19" i="18"/>
  <c r="J58" i="18"/>
  <c r="T19" i="18"/>
  <c r="T58" i="18"/>
  <c r="T40" i="18"/>
  <c r="T44" i="18"/>
  <c r="T41" i="18"/>
  <c r="T43" i="18"/>
  <c r="T38" i="18"/>
  <c r="U38" i="18" s="1"/>
  <c r="V38" i="18" s="1"/>
  <c r="E22" i="35"/>
  <c r="E23" i="35" s="1"/>
  <c r="E25" i="35" s="1"/>
  <c r="G67" i="31"/>
  <c r="AG20" i="18" s="1"/>
  <c r="E366" i="31"/>
  <c r="AC47" i="18"/>
  <c r="J422" i="31"/>
  <c r="G139" i="31"/>
  <c r="G140" i="31" s="1"/>
  <c r="F139" i="31"/>
  <c r="F140" i="31" s="1"/>
  <c r="AG27" i="18" s="1"/>
  <c r="H35" i="34" s="1"/>
  <c r="D164" i="31"/>
  <c r="G291" i="31"/>
  <c r="F291" i="31"/>
  <c r="AG40" i="18" s="1"/>
  <c r="V29" i="18"/>
  <c r="A44" i="18"/>
  <c r="A45" i="18" s="1"/>
  <c r="C54" i="20"/>
  <c r="C50" i="20"/>
  <c r="J28" i="18"/>
  <c r="J23" i="18"/>
  <c r="J21" i="18"/>
  <c r="J17" i="18"/>
  <c r="J44" i="18"/>
  <c r="J43" i="18"/>
  <c r="E150" i="34"/>
  <c r="F150" i="34" s="1"/>
  <c r="O46" i="18"/>
  <c r="G45" i="18"/>
  <c r="G20" i="18"/>
  <c r="E18" i="18"/>
  <c r="F331" i="31"/>
  <c r="E331" i="31" s="1"/>
  <c r="E303" i="31"/>
  <c r="G409" i="31"/>
  <c r="AA55" i="18" s="1"/>
  <c r="F409" i="31"/>
  <c r="S20" i="18"/>
  <c r="T20" i="18" s="1"/>
  <c r="E337" i="31"/>
  <c r="K46" i="18"/>
  <c r="Q46" i="18"/>
  <c r="E20" i="18"/>
  <c r="F9" i="18"/>
  <c r="E119" i="31"/>
  <c r="AA26" i="18"/>
  <c r="G319" i="31"/>
  <c r="F319" i="31"/>
  <c r="I46" i="18"/>
  <c r="M46" i="18"/>
  <c r="E45" i="18"/>
  <c r="E299" i="31"/>
  <c r="AC41" i="18"/>
  <c r="S46" i="18"/>
  <c r="F10" i="18"/>
  <c r="L8" i="18"/>
  <c r="L59" i="18" s="1"/>
  <c r="E151" i="34"/>
  <c r="R8" i="18"/>
  <c r="E154" i="34"/>
  <c r="P8" i="18"/>
  <c r="P59" i="18" s="1"/>
  <c r="E153" i="34"/>
  <c r="N8" i="18"/>
  <c r="N59" i="18" s="1"/>
  <c r="E152" i="34"/>
  <c r="F8" i="18"/>
  <c r="E148" i="34"/>
  <c r="E155" i="34"/>
  <c r="H8" i="18"/>
  <c r="H23" i="18" s="1"/>
  <c r="E149" i="34"/>
  <c r="G414" i="31"/>
  <c r="F414" i="31"/>
  <c r="E13" i="18" l="1"/>
  <c r="F13" i="18" s="1"/>
  <c r="AA60" i="18"/>
  <c r="R59" i="18"/>
  <c r="R22" i="18"/>
  <c r="F25" i="18"/>
  <c r="U25" i="18" s="1"/>
  <c r="V25" i="18" s="1"/>
  <c r="I112" i="31" s="1"/>
  <c r="F22" i="18"/>
  <c r="H58" i="18"/>
  <c r="H59" i="18"/>
  <c r="R19" i="18"/>
  <c r="R58" i="18"/>
  <c r="N19" i="18"/>
  <c r="N58" i="18"/>
  <c r="L19" i="18"/>
  <c r="L58" i="18"/>
  <c r="P19" i="18"/>
  <c r="P58" i="18"/>
  <c r="T46" i="18"/>
  <c r="K18" i="18"/>
  <c r="K13" i="18" s="1"/>
  <c r="L13" i="18" s="1"/>
  <c r="Q18" i="18"/>
  <c r="R18" i="18" s="1"/>
  <c r="M18" i="18"/>
  <c r="M13" i="18" s="1"/>
  <c r="M15" i="18" s="1"/>
  <c r="N15" i="18" s="1"/>
  <c r="G46" i="34"/>
  <c r="I46" i="34" s="1"/>
  <c r="I264" i="31"/>
  <c r="G85" i="34"/>
  <c r="AD38" i="18"/>
  <c r="AB38" i="18"/>
  <c r="AH38" i="18"/>
  <c r="S18" i="18"/>
  <c r="H19" i="18"/>
  <c r="I18" i="18"/>
  <c r="I13" i="18" s="1"/>
  <c r="I15" i="18" s="1"/>
  <c r="J15" i="18" s="1"/>
  <c r="O18" i="18"/>
  <c r="P18" i="18" s="1"/>
  <c r="T55" i="18"/>
  <c r="T54" i="18"/>
  <c r="T51" i="18"/>
  <c r="T53" i="18"/>
  <c r="G18" i="18"/>
  <c r="G13" i="18" s="1"/>
  <c r="G14" i="18" s="1"/>
  <c r="H14" i="18" s="1"/>
  <c r="F49" i="18"/>
  <c r="T49" i="18"/>
  <c r="T21" i="18"/>
  <c r="T23" i="18"/>
  <c r="T17" i="18"/>
  <c r="U48" i="18"/>
  <c r="V48" i="18" s="1"/>
  <c r="U28" i="18"/>
  <c r="V28" i="18" s="1"/>
  <c r="F24" i="18"/>
  <c r="U24" i="18" s="1"/>
  <c r="V33" i="18"/>
  <c r="I210" i="31" s="1"/>
  <c r="K210" i="31" s="1"/>
  <c r="V35" i="18"/>
  <c r="AH35" i="18" s="1"/>
  <c r="E67" i="31"/>
  <c r="I20" i="18"/>
  <c r="J20" i="18" s="1"/>
  <c r="H20" i="18"/>
  <c r="O20" i="18"/>
  <c r="P20" i="18" s="1"/>
  <c r="Q20" i="18"/>
  <c r="R20" i="18" s="1"/>
  <c r="F20" i="18"/>
  <c r="M20" i="18"/>
  <c r="N20" i="18" s="1"/>
  <c r="K20" i="18"/>
  <c r="L20" i="18" s="1"/>
  <c r="H28" i="34"/>
  <c r="A41" i="18"/>
  <c r="V37" i="18"/>
  <c r="I257" i="31" s="1"/>
  <c r="K257" i="31" s="1"/>
  <c r="I22" i="35"/>
  <c r="I23" i="35" s="1"/>
  <c r="I25" i="35" s="1"/>
  <c r="I26" i="35" s="1"/>
  <c r="V27" i="18"/>
  <c r="AH27" i="18" s="1"/>
  <c r="D22" i="35"/>
  <c r="J22" i="35"/>
  <c r="J23" i="35" s="1"/>
  <c r="J25" i="35" s="1"/>
  <c r="J26" i="35" s="1"/>
  <c r="D269" i="31" s="1"/>
  <c r="E26" i="35"/>
  <c r="D150" i="31" s="1"/>
  <c r="V31" i="18"/>
  <c r="G78" i="34" s="1"/>
  <c r="L30" i="18"/>
  <c r="L422" i="31"/>
  <c r="AJ56" i="18" s="1"/>
  <c r="G76" i="34"/>
  <c r="I163" i="31"/>
  <c r="G164" i="31"/>
  <c r="G165" i="31" s="1"/>
  <c r="F164" i="31"/>
  <c r="F165" i="31" s="1"/>
  <c r="AG29" i="18" s="1"/>
  <c r="H37" i="34" s="1"/>
  <c r="F17" i="18"/>
  <c r="G37" i="34"/>
  <c r="AB29" i="18"/>
  <c r="AD29" i="18"/>
  <c r="G22" i="35"/>
  <c r="F22" i="35"/>
  <c r="F23" i="35" s="1"/>
  <c r="H22" i="35"/>
  <c r="C22" i="35"/>
  <c r="C23" i="35" s="1"/>
  <c r="C25" i="35" s="1"/>
  <c r="C26" i="35" s="1"/>
  <c r="N54" i="18"/>
  <c r="R54" i="18"/>
  <c r="L55" i="18"/>
  <c r="P54" i="18"/>
  <c r="H52" i="18"/>
  <c r="Y126" i="34"/>
  <c r="P46" i="18"/>
  <c r="R55" i="18"/>
  <c r="R53" i="18"/>
  <c r="R51" i="18"/>
  <c r="N55" i="18"/>
  <c r="P55" i="18"/>
  <c r="R52" i="18"/>
  <c r="P52" i="18"/>
  <c r="P53" i="18"/>
  <c r="P51" i="18"/>
  <c r="L46" i="18"/>
  <c r="N53" i="18"/>
  <c r="N52" i="18"/>
  <c r="N51" i="18"/>
  <c r="H45" i="18"/>
  <c r="L49" i="18"/>
  <c r="P49" i="18"/>
  <c r="F45" i="18"/>
  <c r="H49" i="18"/>
  <c r="N49" i="18"/>
  <c r="R49" i="18"/>
  <c r="J49" i="18"/>
  <c r="N46" i="18"/>
  <c r="H51" i="18"/>
  <c r="H55" i="18"/>
  <c r="AC42" i="18"/>
  <c r="E319" i="31"/>
  <c r="R46" i="18"/>
  <c r="F18" i="18"/>
  <c r="L54" i="18"/>
  <c r="H53" i="18"/>
  <c r="F47" i="18"/>
  <c r="F55" i="18"/>
  <c r="F52" i="18"/>
  <c r="F51" i="18"/>
  <c r="F53" i="18"/>
  <c r="F54" i="18"/>
  <c r="J46" i="18"/>
  <c r="L51" i="18"/>
  <c r="H17" i="18"/>
  <c r="H44" i="18"/>
  <c r="H42" i="18"/>
  <c r="H26" i="18"/>
  <c r="H21" i="18"/>
  <c r="F152" i="34"/>
  <c r="Y128" i="34"/>
  <c r="L21" i="18"/>
  <c r="L17" i="18"/>
  <c r="L44" i="18"/>
  <c r="L23" i="18"/>
  <c r="L43" i="18"/>
  <c r="L53" i="18"/>
  <c r="H54" i="18"/>
  <c r="Y124" i="34"/>
  <c r="E156" i="34"/>
  <c r="F148" i="34"/>
  <c r="N32" i="18"/>
  <c r="N21" i="18"/>
  <c r="N44" i="18"/>
  <c r="N43" i="18"/>
  <c r="N23" i="18"/>
  <c r="N17" i="18"/>
  <c r="Y130" i="34"/>
  <c r="F154" i="34"/>
  <c r="Y125" i="34"/>
  <c r="F149" i="34"/>
  <c r="N43" i="20"/>
  <c r="P23" i="18"/>
  <c r="P40" i="18"/>
  <c r="P34" i="18"/>
  <c r="P21" i="18"/>
  <c r="P44" i="18"/>
  <c r="R17" i="18"/>
  <c r="P17" i="18"/>
  <c r="P41" i="18"/>
  <c r="P43" i="18"/>
  <c r="F151" i="34"/>
  <c r="Y127" i="34"/>
  <c r="L52" i="18"/>
  <c r="F42" i="18"/>
  <c r="F44" i="18"/>
  <c r="F21" i="18"/>
  <c r="Y129" i="34"/>
  <c r="F153" i="34"/>
  <c r="J53" i="18"/>
  <c r="J51" i="18"/>
  <c r="J52" i="18"/>
  <c r="J55" i="18"/>
  <c r="J54" i="18"/>
  <c r="R41" i="18"/>
  <c r="R36" i="18"/>
  <c r="R44" i="18"/>
  <c r="R43" i="18"/>
  <c r="R21" i="18"/>
  <c r="R40" i="18"/>
  <c r="R23" i="18"/>
  <c r="F155" i="34"/>
  <c r="Y131" i="34"/>
  <c r="D422" i="31"/>
  <c r="F422" i="31" s="1"/>
  <c r="D403" i="31"/>
  <c r="D14" i="31"/>
  <c r="D357" i="31"/>
  <c r="D349" i="31"/>
  <c r="D340" i="31"/>
  <c r="D387" i="31"/>
  <c r="D88" i="31"/>
  <c r="D77" i="31"/>
  <c r="D367" i="31"/>
  <c r="D327" i="31"/>
  <c r="D314" i="31"/>
  <c r="D377" i="31"/>
  <c r="AC55" i="18"/>
  <c r="AC60" i="18" s="1"/>
  <c r="E414" i="31"/>
  <c r="A47" i="18"/>
  <c r="A46" i="18"/>
  <c r="U59" i="18" l="1"/>
  <c r="V59" i="18" s="1"/>
  <c r="AF59" i="18" s="1"/>
  <c r="J18" i="18"/>
  <c r="E14" i="18"/>
  <c r="F14" i="18" s="1"/>
  <c r="L18" i="18"/>
  <c r="U22" i="18"/>
  <c r="V22" i="18" s="1"/>
  <c r="G30" i="34" s="1"/>
  <c r="U58" i="18"/>
  <c r="V58" i="18" s="1"/>
  <c r="Y58" i="18" s="1"/>
  <c r="AD59" i="18"/>
  <c r="H18" i="18"/>
  <c r="N18" i="18"/>
  <c r="I234" i="31"/>
  <c r="J234" i="31" s="1"/>
  <c r="G82" i="34"/>
  <c r="Q13" i="18"/>
  <c r="Q14" i="18" s="1"/>
  <c r="R14" i="18" s="1"/>
  <c r="U23" i="18"/>
  <c r="V23" i="18" s="1"/>
  <c r="J264" i="31"/>
  <c r="K264" i="31"/>
  <c r="AB33" i="18"/>
  <c r="U45" i="18"/>
  <c r="V45" i="18" s="1"/>
  <c r="G92" i="34" s="1"/>
  <c r="S13" i="18"/>
  <c r="T18" i="18"/>
  <c r="U43" i="18"/>
  <c r="V43" i="18" s="1"/>
  <c r="F269" i="31"/>
  <c r="F273" i="31" s="1"/>
  <c r="W38" i="18" s="1"/>
  <c r="Y38" i="18" s="1"/>
  <c r="G269" i="31"/>
  <c r="U20" i="18"/>
  <c r="V20" i="18" s="1"/>
  <c r="I62" i="31" s="1"/>
  <c r="U42" i="18"/>
  <c r="V42" i="18" s="1"/>
  <c r="G36" i="34"/>
  <c r="I145" i="31"/>
  <c r="J145" i="31" s="1"/>
  <c r="G75" i="34"/>
  <c r="AD28" i="18"/>
  <c r="AB28" i="18"/>
  <c r="U32" i="18"/>
  <c r="V32" i="18" s="1"/>
  <c r="U17" i="18"/>
  <c r="V17" i="18" s="1"/>
  <c r="U34" i="18"/>
  <c r="V34" i="18" s="1"/>
  <c r="U40" i="18"/>
  <c r="V40" i="18" s="1"/>
  <c r="I288" i="31" s="1"/>
  <c r="U21" i="18"/>
  <c r="V21" i="18" s="1"/>
  <c r="U26" i="18"/>
  <c r="V26" i="18" s="1"/>
  <c r="U19" i="18"/>
  <c r="U36" i="18"/>
  <c r="V36" i="18" s="1"/>
  <c r="U47" i="18"/>
  <c r="V47" i="18" s="1"/>
  <c r="U41" i="18"/>
  <c r="V41" i="18" s="1"/>
  <c r="U44" i="18"/>
  <c r="V44" i="18" s="1"/>
  <c r="U46" i="18"/>
  <c r="V46" i="18" s="1"/>
  <c r="AD46" i="18" s="1"/>
  <c r="U30" i="18"/>
  <c r="V30" i="18" s="1"/>
  <c r="U49" i="18"/>
  <c r="V49" i="18" s="1"/>
  <c r="AB49" i="18" s="1"/>
  <c r="AD35" i="18"/>
  <c r="G43" i="34"/>
  <c r="I43" i="34" s="1"/>
  <c r="AB35" i="18"/>
  <c r="AH33" i="18"/>
  <c r="G41" i="34"/>
  <c r="I41" i="34" s="1"/>
  <c r="G80" i="34"/>
  <c r="J210" i="31"/>
  <c r="L210" i="31" s="1"/>
  <c r="AJ33" i="18" s="1"/>
  <c r="AD33" i="18"/>
  <c r="AB37" i="18"/>
  <c r="J257" i="31"/>
  <c r="L257" i="31" s="1"/>
  <c r="AJ37" i="18" s="1"/>
  <c r="AH37" i="18"/>
  <c r="G84" i="34"/>
  <c r="AD37" i="18"/>
  <c r="G45" i="34"/>
  <c r="I45" i="34" s="1"/>
  <c r="AD27" i="18"/>
  <c r="G35" i="34"/>
  <c r="I35" i="34" s="1"/>
  <c r="I138" i="31"/>
  <c r="J138" i="31" s="1"/>
  <c r="AB27" i="18"/>
  <c r="G74" i="34"/>
  <c r="I37" i="34"/>
  <c r="G23" i="35"/>
  <c r="G25" i="35" s="1"/>
  <c r="G26" i="35" s="1"/>
  <c r="D198" i="31" s="1"/>
  <c r="F25" i="35"/>
  <c r="H23" i="35"/>
  <c r="H25" i="35" s="1"/>
  <c r="H26" i="35" s="1"/>
  <c r="D222" i="31" s="1"/>
  <c r="I187" i="31"/>
  <c r="J187" i="31" s="1"/>
  <c r="AD31" i="18"/>
  <c r="G39" i="34"/>
  <c r="AB31" i="18"/>
  <c r="AH31" i="18"/>
  <c r="I373" i="31"/>
  <c r="J373" i="31" s="1"/>
  <c r="AD48" i="18"/>
  <c r="AB48" i="18"/>
  <c r="K112" i="31"/>
  <c r="J112" i="31"/>
  <c r="J163" i="31"/>
  <c r="K163" i="31"/>
  <c r="AH29" i="18"/>
  <c r="O13" i="18"/>
  <c r="P13" i="18" s="1"/>
  <c r="AH25" i="18"/>
  <c r="G72" i="34"/>
  <c r="AD25" i="18"/>
  <c r="AB25" i="18"/>
  <c r="V24" i="18"/>
  <c r="AD24" i="18" s="1"/>
  <c r="G33" i="34"/>
  <c r="I33" i="34" s="1"/>
  <c r="D245" i="31"/>
  <c r="G245" i="31" s="1"/>
  <c r="AE36" i="18" s="1"/>
  <c r="D23" i="35"/>
  <c r="D25" i="35" s="1"/>
  <c r="G95" i="34"/>
  <c r="K14" i="18"/>
  <c r="L14" i="18" s="1"/>
  <c r="K15" i="18"/>
  <c r="L15" i="18" s="1"/>
  <c r="H13" i="18"/>
  <c r="M14" i="18"/>
  <c r="N14" i="18" s="1"/>
  <c r="N13" i="18"/>
  <c r="G56" i="34"/>
  <c r="G15" i="18"/>
  <c r="H15" i="18" s="1"/>
  <c r="E15" i="18"/>
  <c r="F15" i="18" s="1"/>
  <c r="U55" i="18"/>
  <c r="V55" i="18" s="1"/>
  <c r="I14" i="18"/>
  <c r="J14" i="18" s="1"/>
  <c r="U53" i="18"/>
  <c r="V53" i="18" s="1"/>
  <c r="U51" i="18"/>
  <c r="V51" i="18" s="1"/>
  <c r="AF51" i="18" s="1"/>
  <c r="F156" i="34"/>
  <c r="G148" i="34" s="1"/>
  <c r="I16" i="18"/>
  <c r="J16" i="18" s="1"/>
  <c r="J13" i="18"/>
  <c r="U52" i="18"/>
  <c r="V52" i="18" s="1"/>
  <c r="Y132" i="34"/>
  <c r="U54" i="18"/>
  <c r="V54" i="18" s="1"/>
  <c r="G387" i="31"/>
  <c r="F387" i="31"/>
  <c r="F14" i="31"/>
  <c r="G14" i="31"/>
  <c r="A50" i="18"/>
  <c r="A51" i="18" s="1"/>
  <c r="A52" i="18" s="1"/>
  <c r="A53" i="18" s="1"/>
  <c r="A54" i="18" s="1"/>
  <c r="A55" i="18" s="1"/>
  <c r="A56" i="18" s="1"/>
  <c r="A48" i="18"/>
  <c r="A49" i="18" s="1"/>
  <c r="F88" i="31"/>
  <c r="G88" i="31"/>
  <c r="F357" i="31"/>
  <c r="G357" i="31"/>
  <c r="D199" i="31"/>
  <c r="D175" i="31"/>
  <c r="D305" i="31"/>
  <c r="D151" i="31"/>
  <c r="D101" i="31"/>
  <c r="D126" i="31"/>
  <c r="G403" i="31"/>
  <c r="F403" i="31"/>
  <c r="F377" i="31"/>
  <c r="G377" i="31"/>
  <c r="G340" i="31"/>
  <c r="F340" i="31"/>
  <c r="D6" i="31"/>
  <c r="F6" i="31" s="1"/>
  <c r="F314" i="31"/>
  <c r="G314" i="31"/>
  <c r="D320" i="31" s="1"/>
  <c r="F26" i="31"/>
  <c r="G26" i="31"/>
  <c r="D27" i="31" s="1"/>
  <c r="F327" i="31"/>
  <c r="G327" i="31"/>
  <c r="D56" i="31"/>
  <c r="D36" i="31"/>
  <c r="F36" i="31" s="1"/>
  <c r="D411" i="31"/>
  <c r="D395" i="31"/>
  <c r="F395" i="31" s="1"/>
  <c r="G422" i="31"/>
  <c r="D423" i="31" s="1"/>
  <c r="F367" i="31"/>
  <c r="G367" i="31"/>
  <c r="G349" i="31"/>
  <c r="F349" i="31"/>
  <c r="M16" i="18"/>
  <c r="N16" i="18" s="1"/>
  <c r="G77" i="31"/>
  <c r="F77" i="31"/>
  <c r="G13" i="31"/>
  <c r="AB59" i="18" l="1"/>
  <c r="R13" i="18"/>
  <c r="AB58" i="18"/>
  <c r="G101" i="34"/>
  <c r="AH58" i="18"/>
  <c r="I428" i="31"/>
  <c r="J428" i="31" s="1"/>
  <c r="AD58" i="18"/>
  <c r="G62" i="34"/>
  <c r="I62" i="34" s="1"/>
  <c r="AD22" i="18"/>
  <c r="AB22" i="18"/>
  <c r="G69" i="34"/>
  <c r="J62" i="31"/>
  <c r="K62" i="31"/>
  <c r="G68" i="34"/>
  <c r="G29" i="34"/>
  <c r="Q15" i="18"/>
  <c r="R15" i="18" s="1"/>
  <c r="K234" i="31"/>
  <c r="L234" i="31" s="1"/>
  <c r="AJ35" i="18" s="1"/>
  <c r="U18" i="18"/>
  <c r="V18" i="18" s="1"/>
  <c r="AB18" i="18" s="1"/>
  <c r="L264" i="31"/>
  <c r="AJ38" i="18" s="1"/>
  <c r="K145" i="31"/>
  <c r="L145" i="31" s="1"/>
  <c r="AJ28" i="18" s="1"/>
  <c r="S15" i="18"/>
  <c r="T15" i="18" s="1"/>
  <c r="T13" i="18"/>
  <c r="S14" i="18"/>
  <c r="T14" i="18" s="1"/>
  <c r="AE38" i="18"/>
  <c r="G273" i="31"/>
  <c r="X38" i="18" s="1"/>
  <c r="Z38" i="18" s="1"/>
  <c r="AB47" i="18"/>
  <c r="G55" i="34"/>
  <c r="I363" i="31"/>
  <c r="K363" i="31" s="1"/>
  <c r="G94" i="34"/>
  <c r="AD47" i="18"/>
  <c r="AB36" i="18"/>
  <c r="I240" i="31"/>
  <c r="K240" i="31" s="1"/>
  <c r="G44" i="34"/>
  <c r="G83" i="34"/>
  <c r="AD36" i="18"/>
  <c r="G73" i="34"/>
  <c r="AD26" i="18"/>
  <c r="I119" i="31"/>
  <c r="K119" i="31" s="1"/>
  <c r="G34" i="34"/>
  <c r="AB26" i="18"/>
  <c r="I193" i="31"/>
  <c r="J193" i="31" s="1"/>
  <c r="AD32" i="18"/>
  <c r="G40" i="34"/>
  <c r="AB32" i="18"/>
  <c r="G79" i="34"/>
  <c r="G38" i="34"/>
  <c r="AD30" i="18"/>
  <c r="I169" i="31"/>
  <c r="K169" i="31" s="1"/>
  <c r="AB30" i="18"/>
  <c r="G77" i="34"/>
  <c r="AB34" i="18"/>
  <c r="AD34" i="18"/>
  <c r="G81" i="34"/>
  <c r="I217" i="31"/>
  <c r="K217" i="31" s="1"/>
  <c r="G42" i="34"/>
  <c r="V19" i="18"/>
  <c r="G27" i="34" s="1"/>
  <c r="G67" i="34"/>
  <c r="G28" i="34"/>
  <c r="I28" i="34" s="1"/>
  <c r="AB20" i="18"/>
  <c r="AD20" i="18"/>
  <c r="AH20" i="18"/>
  <c r="K138" i="31"/>
  <c r="L138" i="31" s="1"/>
  <c r="AJ27" i="18" s="1"/>
  <c r="D15" i="31"/>
  <c r="F15" i="31" s="1"/>
  <c r="F26" i="35"/>
  <c r="D174" i="31" s="1"/>
  <c r="C27" i="35"/>
  <c r="C28" i="35" s="1"/>
  <c r="G222" i="31"/>
  <c r="AE34" i="18" s="1"/>
  <c r="AF34" i="18" s="1"/>
  <c r="F222" i="31"/>
  <c r="D26" i="35"/>
  <c r="D124" i="31" s="1"/>
  <c r="K373" i="31"/>
  <c r="L373" i="31" s="1"/>
  <c r="AJ48" i="18" s="1"/>
  <c r="K187" i="31"/>
  <c r="L187" i="31" s="1"/>
  <c r="AJ31" i="18" s="1"/>
  <c r="O14" i="18"/>
  <c r="P14" i="18" s="1"/>
  <c r="I403" i="31"/>
  <c r="AB54" i="18"/>
  <c r="AD42" i="18"/>
  <c r="AB42" i="18"/>
  <c r="G60" i="34"/>
  <c r="AB55" i="18"/>
  <c r="G97" i="34"/>
  <c r="AB53" i="18"/>
  <c r="L112" i="31"/>
  <c r="AJ25" i="18" s="1"/>
  <c r="O15" i="18"/>
  <c r="P15" i="18" s="1"/>
  <c r="L163" i="31"/>
  <c r="AJ29" i="18" s="1"/>
  <c r="J288" i="31"/>
  <c r="K288" i="31"/>
  <c r="G71" i="34"/>
  <c r="AB24" i="18"/>
  <c r="I94" i="31"/>
  <c r="G32" i="34"/>
  <c r="H83" i="34"/>
  <c r="AF36" i="18"/>
  <c r="F245" i="31"/>
  <c r="AD40" i="18"/>
  <c r="G87" i="34"/>
  <c r="K16" i="18"/>
  <c r="L16" i="18" s="1"/>
  <c r="G93" i="34"/>
  <c r="AB46" i="18"/>
  <c r="G96" i="34"/>
  <c r="I355" i="31"/>
  <c r="J355" i="31" s="1"/>
  <c r="G53" i="34"/>
  <c r="G16" i="18"/>
  <c r="H16" i="18" s="1"/>
  <c r="I347" i="31"/>
  <c r="I409" i="31"/>
  <c r="K409" i="31" s="1"/>
  <c r="AB45" i="18"/>
  <c r="E16" i="18"/>
  <c r="F16" i="18" s="1"/>
  <c r="AD45" i="18"/>
  <c r="G48" i="34"/>
  <c r="I383" i="31"/>
  <c r="J383" i="31" s="1"/>
  <c r="G57" i="34"/>
  <c r="AD49" i="18"/>
  <c r="G54" i="34"/>
  <c r="AD55" i="18"/>
  <c r="I393" i="31"/>
  <c r="K393" i="31" s="1"/>
  <c r="G99" i="34"/>
  <c r="AD51" i="18"/>
  <c r="AB51" i="18"/>
  <c r="G58" i="34"/>
  <c r="I83" i="31"/>
  <c r="G31" i="34"/>
  <c r="AB23" i="18"/>
  <c r="G70" i="34"/>
  <c r="AD23" i="18"/>
  <c r="G153" i="34"/>
  <c r="G98" i="34"/>
  <c r="G59" i="34"/>
  <c r="G49" i="34"/>
  <c r="I296" i="31"/>
  <c r="AB41" i="18"/>
  <c r="G88" i="34"/>
  <c r="AD41" i="18"/>
  <c r="G51" i="34"/>
  <c r="AD43" i="18"/>
  <c r="AB43" i="18"/>
  <c r="G90" i="34"/>
  <c r="I325" i="31"/>
  <c r="AB21" i="18"/>
  <c r="I72" i="31"/>
  <c r="AD21" i="18"/>
  <c r="G154" i="34"/>
  <c r="G152" i="34"/>
  <c r="G155" i="34"/>
  <c r="G150" i="34"/>
  <c r="G149" i="34"/>
  <c r="G151" i="34"/>
  <c r="G89" i="34"/>
  <c r="G50" i="34"/>
  <c r="I312" i="31"/>
  <c r="AB52" i="18"/>
  <c r="AD52" i="18"/>
  <c r="AF52" i="18"/>
  <c r="G52" i="34"/>
  <c r="AD44" i="18"/>
  <c r="G91" i="34"/>
  <c r="I337" i="31"/>
  <c r="AB44" i="18"/>
  <c r="AD17" i="18"/>
  <c r="AB17" i="18"/>
  <c r="G64" i="34"/>
  <c r="I32" i="31"/>
  <c r="G25" i="34"/>
  <c r="D78" i="31"/>
  <c r="E327" i="31"/>
  <c r="D332" i="31"/>
  <c r="G151" i="31"/>
  <c r="F151" i="31"/>
  <c r="D388" i="31"/>
  <c r="F423" i="31"/>
  <c r="D404" i="31"/>
  <c r="F20" i="31"/>
  <c r="G20" i="31"/>
  <c r="D21" i="31" s="1"/>
  <c r="F305" i="31"/>
  <c r="G305" i="31"/>
  <c r="D350" i="31"/>
  <c r="G395" i="31"/>
  <c r="G6" i="31"/>
  <c r="F175" i="31"/>
  <c r="G175" i="31"/>
  <c r="D368" i="31"/>
  <c r="F411" i="31"/>
  <c r="G411" i="31"/>
  <c r="D415" i="31" s="1"/>
  <c r="F246" i="31"/>
  <c r="G246" i="31"/>
  <c r="F199" i="31"/>
  <c r="G199" i="31"/>
  <c r="G36" i="31"/>
  <c r="E36" i="31" s="1"/>
  <c r="E314" i="31"/>
  <c r="G223" i="31"/>
  <c r="F223" i="31"/>
  <c r="D358" i="31"/>
  <c r="F56" i="31"/>
  <c r="G56" i="31"/>
  <c r="D57" i="31" s="1"/>
  <c r="D341" i="31"/>
  <c r="G126" i="31"/>
  <c r="F126" i="31"/>
  <c r="D378" i="31"/>
  <c r="G101" i="31"/>
  <c r="F101" i="31"/>
  <c r="D89" i="31"/>
  <c r="F16" i="30" l="1"/>
  <c r="O16" i="30" s="1"/>
  <c r="U13" i="18"/>
  <c r="V13" i="18" s="1"/>
  <c r="AD18" i="18"/>
  <c r="K428" i="31"/>
  <c r="L428" i="31" s="1"/>
  <c r="AJ58" i="18" s="1"/>
  <c r="D441" i="31"/>
  <c r="L62" i="31"/>
  <c r="AJ20" i="18" s="1"/>
  <c r="Q16" i="18"/>
  <c r="R16" i="18" s="1"/>
  <c r="I52" i="31"/>
  <c r="J52" i="31" s="1"/>
  <c r="S16" i="18"/>
  <c r="T16" i="18" s="1"/>
  <c r="J363" i="31"/>
  <c r="L363" i="31" s="1"/>
  <c r="AJ47" i="18" s="1"/>
  <c r="G26" i="34"/>
  <c r="G65" i="34"/>
  <c r="I42" i="31"/>
  <c r="K42" i="31" s="1"/>
  <c r="G66" i="34"/>
  <c r="I27" i="34"/>
  <c r="D44" i="31"/>
  <c r="F44" i="31" s="1"/>
  <c r="F49" i="31" s="1"/>
  <c r="W19" i="18" s="1"/>
  <c r="Y19" i="18" s="1"/>
  <c r="D280" i="31"/>
  <c r="AF38" i="18"/>
  <c r="AI38" i="18" s="1"/>
  <c r="H85" i="34"/>
  <c r="I85" i="34" s="1"/>
  <c r="K193" i="31"/>
  <c r="L193" i="31" s="1"/>
  <c r="AJ32" i="18" s="1"/>
  <c r="J217" i="31"/>
  <c r="L217" i="31" s="1"/>
  <c r="AJ34" i="18" s="1"/>
  <c r="I83" i="34"/>
  <c r="J169" i="31"/>
  <c r="L169" i="31" s="1"/>
  <c r="AJ30" i="18" s="1"/>
  <c r="J240" i="31"/>
  <c r="L240" i="31" s="1"/>
  <c r="AJ36" i="18" s="1"/>
  <c r="J119" i="31"/>
  <c r="L119" i="31" s="1"/>
  <c r="AJ26" i="18" s="1"/>
  <c r="U14" i="18"/>
  <c r="V14" i="18" s="1"/>
  <c r="G22" i="34" s="1"/>
  <c r="U15" i="18"/>
  <c r="V15" i="18" s="1"/>
  <c r="G23" i="34" s="1"/>
  <c r="AH19" i="18"/>
  <c r="AB19" i="18"/>
  <c r="H81" i="34"/>
  <c r="I81" i="34" s="1"/>
  <c r="O16" i="18"/>
  <c r="P16" i="18" s="1"/>
  <c r="K403" i="31"/>
  <c r="J403" i="31"/>
  <c r="D289" i="31"/>
  <c r="F289" i="31" s="1"/>
  <c r="F293" i="31" s="1"/>
  <c r="W40" i="18" s="1"/>
  <c r="D64" i="31"/>
  <c r="L288" i="31"/>
  <c r="K94" i="31"/>
  <c r="J94" i="31"/>
  <c r="D99" i="31"/>
  <c r="G99" i="31" s="1"/>
  <c r="D256" i="31"/>
  <c r="D161" i="31"/>
  <c r="D185" i="31"/>
  <c r="D136" i="31"/>
  <c r="D209" i="31"/>
  <c r="D233" i="31"/>
  <c r="D313" i="31"/>
  <c r="G313" i="31" s="1"/>
  <c r="AE42" i="18" s="1"/>
  <c r="H89" i="34" s="1"/>
  <c r="I89" i="34" s="1"/>
  <c r="D111" i="31"/>
  <c r="D76" i="31"/>
  <c r="F76" i="31" s="1"/>
  <c r="D385" i="31"/>
  <c r="F385" i="31" s="1"/>
  <c r="D375" i="31"/>
  <c r="G375" i="31" s="1"/>
  <c r="AE48" i="18" s="1"/>
  <c r="D421" i="31"/>
  <c r="F421" i="31" s="1"/>
  <c r="F425" i="31" s="1"/>
  <c r="W56" i="18" s="1"/>
  <c r="Y56" i="18" s="1"/>
  <c r="D402" i="31"/>
  <c r="G402" i="31" s="1"/>
  <c r="AE54" i="18" s="1"/>
  <c r="D54" i="31"/>
  <c r="G54" i="31" s="1"/>
  <c r="D87" i="31"/>
  <c r="F87" i="31" s="1"/>
  <c r="D339" i="31"/>
  <c r="F339" i="31" s="1"/>
  <c r="D304" i="31"/>
  <c r="G304" i="31" s="1"/>
  <c r="AE41" i="18" s="1"/>
  <c r="H88" i="34" s="1"/>
  <c r="I88" i="34" s="1"/>
  <c r="D394" i="31"/>
  <c r="F394" i="31" s="1"/>
  <c r="D348" i="31"/>
  <c r="G348" i="31" s="1"/>
  <c r="AE45" i="18" s="1"/>
  <c r="H92" i="34" s="1"/>
  <c r="I92" i="34" s="1"/>
  <c r="D356" i="31"/>
  <c r="G356" i="31" s="1"/>
  <c r="AE46" i="18" s="1"/>
  <c r="H93" i="34" s="1"/>
  <c r="I93" i="34" s="1"/>
  <c r="D410" i="31"/>
  <c r="G410" i="31" s="1"/>
  <c r="AE55" i="18" s="1"/>
  <c r="H99" i="34" s="1"/>
  <c r="I99" i="34" s="1"/>
  <c r="D365" i="31"/>
  <c r="F365" i="31" s="1"/>
  <c r="D34" i="31"/>
  <c r="F34" i="31" s="1"/>
  <c r="D326" i="31"/>
  <c r="AJ40" i="18"/>
  <c r="J409" i="31"/>
  <c r="L409" i="31" s="1"/>
  <c r="AJ55" i="18" s="1"/>
  <c r="K355" i="31"/>
  <c r="L355" i="31" s="1"/>
  <c r="AJ46" i="18" s="1"/>
  <c r="J347" i="31"/>
  <c r="K347" i="31"/>
  <c r="K383" i="31"/>
  <c r="L383" i="31" s="1"/>
  <c r="AJ49" i="18" s="1"/>
  <c r="J393" i="31"/>
  <c r="L393" i="31" s="1"/>
  <c r="AJ53" i="18" s="1"/>
  <c r="D247" i="31"/>
  <c r="D7" i="31"/>
  <c r="F7" i="31" s="1"/>
  <c r="G156" i="34"/>
  <c r="J72" i="31"/>
  <c r="K72" i="31"/>
  <c r="K325" i="31"/>
  <c r="J325" i="31"/>
  <c r="J32" i="31"/>
  <c r="K32" i="31"/>
  <c r="K83" i="31"/>
  <c r="J83" i="31"/>
  <c r="K296" i="31"/>
  <c r="J296" i="31"/>
  <c r="J337" i="31"/>
  <c r="K337" i="31"/>
  <c r="J312" i="31"/>
  <c r="K312" i="31"/>
  <c r="G341" i="31"/>
  <c r="F341" i="31"/>
  <c r="F27" i="31"/>
  <c r="F29" i="31" s="1"/>
  <c r="G27" i="31"/>
  <c r="F378" i="31"/>
  <c r="G378" i="31"/>
  <c r="D37" i="31"/>
  <c r="D396" i="31"/>
  <c r="G332" i="31"/>
  <c r="F332" i="31"/>
  <c r="D224" i="31"/>
  <c r="D306" i="31"/>
  <c r="G423" i="31"/>
  <c r="F388" i="31"/>
  <c r="G388" i="31"/>
  <c r="E56" i="31"/>
  <c r="F89" i="31"/>
  <c r="G89" i="31"/>
  <c r="F17" i="31"/>
  <c r="G15" i="31"/>
  <c r="G17" i="31" s="1"/>
  <c r="X14" i="18" s="1"/>
  <c r="G350" i="31"/>
  <c r="F350" i="31"/>
  <c r="D102" i="31"/>
  <c r="E175" i="31"/>
  <c r="D176" i="31"/>
  <c r="E126" i="31"/>
  <c r="D127" i="31"/>
  <c r="G358" i="31"/>
  <c r="F358" i="31"/>
  <c r="E199" i="31"/>
  <c r="D200" i="31"/>
  <c r="F404" i="31"/>
  <c r="G404" i="31"/>
  <c r="D152" i="31"/>
  <c r="F320" i="31"/>
  <c r="G320" i="31"/>
  <c r="F368" i="31"/>
  <c r="G368" i="31"/>
  <c r="F78" i="31"/>
  <c r="G78" i="31"/>
  <c r="AG22" i="18" s="1"/>
  <c r="K16" i="30" l="1"/>
  <c r="N16" i="30"/>
  <c r="N17" i="30" s="1"/>
  <c r="M16" i="30"/>
  <c r="M17" i="30" s="1"/>
  <c r="L16" i="30"/>
  <c r="L17" i="30" s="1"/>
  <c r="G21" i="34"/>
  <c r="H17" i="30"/>
  <c r="G18" i="30" s="1"/>
  <c r="H18" i="30" s="1"/>
  <c r="G441" i="31"/>
  <c r="AE58" i="18" s="1"/>
  <c r="F441" i="31"/>
  <c r="H30" i="34"/>
  <c r="I30" i="34" s="1"/>
  <c r="AH22" i="18"/>
  <c r="K52" i="31"/>
  <c r="L52" i="31" s="1"/>
  <c r="AJ18" i="18" s="1"/>
  <c r="J42" i="31"/>
  <c r="L42" i="31" s="1"/>
  <c r="AJ19" i="18" s="1"/>
  <c r="G44" i="31"/>
  <c r="AE19" i="18" s="1"/>
  <c r="F280" i="31"/>
  <c r="F281" i="31" s="1"/>
  <c r="F285" i="31" s="1"/>
  <c r="W39" i="18" s="1"/>
  <c r="Y39" i="18" s="1"/>
  <c r="G280" i="31"/>
  <c r="G17" i="30"/>
  <c r="I17" i="30"/>
  <c r="U16" i="18"/>
  <c r="V16" i="18" s="1"/>
  <c r="G24" i="34" s="1"/>
  <c r="K17" i="30"/>
  <c r="Z14" i="18"/>
  <c r="AE18" i="18"/>
  <c r="AF18" i="18" s="1"/>
  <c r="F80" i="31"/>
  <c r="G289" i="31"/>
  <c r="AE40" i="18" s="1"/>
  <c r="L403" i="31"/>
  <c r="AJ54" i="18" s="1"/>
  <c r="G64" i="31"/>
  <c r="AE20" i="18" s="1"/>
  <c r="F64" i="31"/>
  <c r="H98" i="34"/>
  <c r="I98" i="34" s="1"/>
  <c r="H95" i="34"/>
  <c r="I95" i="34" s="1"/>
  <c r="L94" i="31"/>
  <c r="AJ24" i="18" s="1"/>
  <c r="G100" i="31"/>
  <c r="AE24" i="18"/>
  <c r="H71" i="34" s="1"/>
  <c r="I71" i="34" s="1"/>
  <c r="G256" i="31"/>
  <c r="F256" i="31"/>
  <c r="F257" i="31" s="1"/>
  <c r="F261" i="31" s="1"/>
  <c r="W37" i="18" s="1"/>
  <c r="Y37" i="18" s="1"/>
  <c r="F99" i="31"/>
  <c r="F100" i="31" s="1"/>
  <c r="G150" i="31"/>
  <c r="AE28" i="18" s="1"/>
  <c r="F150" i="31"/>
  <c r="G233" i="31"/>
  <c r="F233" i="31"/>
  <c r="F234" i="31" s="1"/>
  <c r="F238" i="31" s="1"/>
  <c r="W35" i="18" s="1"/>
  <c r="Y35" i="18" s="1"/>
  <c r="F209" i="31"/>
  <c r="F210" i="31" s="1"/>
  <c r="F214" i="31" s="1"/>
  <c r="W33" i="18" s="1"/>
  <c r="Y33" i="18" s="1"/>
  <c r="G209" i="31"/>
  <c r="G136" i="31"/>
  <c r="F136" i="31"/>
  <c r="F137" i="31" s="1"/>
  <c r="F141" i="31" s="1"/>
  <c r="W27" i="18" s="1"/>
  <c r="Y27" i="18" s="1"/>
  <c r="G185" i="31"/>
  <c r="F185" i="31"/>
  <c r="F186" i="31" s="1"/>
  <c r="F190" i="31" s="1"/>
  <c r="W31" i="18" s="1"/>
  <c r="Y31" i="18" s="1"/>
  <c r="F124" i="31"/>
  <c r="F125" i="31" s="1"/>
  <c r="G124" i="31"/>
  <c r="G161" i="31"/>
  <c r="F161" i="31"/>
  <c r="F162" i="31" s="1"/>
  <c r="F166" i="31" s="1"/>
  <c r="W29" i="18" s="1"/>
  <c r="Y29" i="18" s="1"/>
  <c r="G174" i="31"/>
  <c r="AE30" i="18" s="1"/>
  <c r="F174" i="31"/>
  <c r="F198" i="31"/>
  <c r="G198" i="31"/>
  <c r="AE32" i="18" s="1"/>
  <c r="F313" i="31"/>
  <c r="E313" i="31" s="1"/>
  <c r="AF48" i="18"/>
  <c r="G111" i="31"/>
  <c r="F111" i="31"/>
  <c r="F112" i="31" s="1"/>
  <c r="F116" i="31" s="1"/>
  <c r="W25" i="18" s="1"/>
  <c r="Y25" i="18" s="1"/>
  <c r="F370" i="31"/>
  <c r="W47" i="18" s="1"/>
  <c r="Y47" i="18" s="1"/>
  <c r="F390" i="31"/>
  <c r="W49" i="18" s="1"/>
  <c r="Y49" i="18" s="1"/>
  <c r="G76" i="31"/>
  <c r="AE22" i="18" s="1"/>
  <c r="F344" i="31"/>
  <c r="W44" i="18" s="1"/>
  <c r="Y44" i="18" s="1"/>
  <c r="G385" i="31"/>
  <c r="AE49" i="18" s="1"/>
  <c r="H96" i="34" s="1"/>
  <c r="I96" i="34" s="1"/>
  <c r="F402" i="31"/>
  <c r="F406" i="31" s="1"/>
  <c r="W54" i="18" s="1"/>
  <c r="Y54" i="18" s="1"/>
  <c r="F91" i="31"/>
  <c r="W23" i="18" s="1"/>
  <c r="Y23" i="18" s="1"/>
  <c r="F375" i="31"/>
  <c r="F380" i="31" s="1"/>
  <c r="W48" i="18" s="1"/>
  <c r="Y48" i="18" s="1"/>
  <c r="G87" i="31"/>
  <c r="AE23" i="18" s="1"/>
  <c r="H70" i="34" s="1"/>
  <c r="I70" i="34" s="1"/>
  <c r="AF55" i="18"/>
  <c r="G421" i="31"/>
  <c r="AE56" i="18" s="1"/>
  <c r="G339" i="31"/>
  <c r="AE44" i="18" s="1"/>
  <c r="H91" i="34" s="1"/>
  <c r="I91" i="34" s="1"/>
  <c r="AF54" i="18"/>
  <c r="AF41" i="18"/>
  <c r="AF46" i="18"/>
  <c r="F304" i="31"/>
  <c r="G394" i="31"/>
  <c r="AE53" i="18" s="1"/>
  <c r="H97" i="34" s="1"/>
  <c r="I97" i="34" s="1"/>
  <c r="F54" i="31"/>
  <c r="E54" i="31" s="1"/>
  <c r="F410" i="31"/>
  <c r="G34" i="31"/>
  <c r="AE17" i="18" s="1"/>
  <c r="AF45" i="18"/>
  <c r="F348" i="31"/>
  <c r="F352" i="31" s="1"/>
  <c r="W45" i="18" s="1"/>
  <c r="Y45" i="18" s="1"/>
  <c r="F356" i="31"/>
  <c r="F360" i="31" s="1"/>
  <c r="W46" i="18" s="1"/>
  <c r="Y46" i="18" s="1"/>
  <c r="F326" i="31"/>
  <c r="F334" i="31" s="1"/>
  <c r="W43" i="18" s="1"/>
  <c r="Y43" i="18" s="1"/>
  <c r="G326" i="31"/>
  <c r="G334" i="31" s="1"/>
  <c r="X43" i="18" s="1"/>
  <c r="Z43" i="18" s="1"/>
  <c r="G365" i="31"/>
  <c r="AE47" i="18" s="1"/>
  <c r="AF42" i="18"/>
  <c r="L347" i="31"/>
  <c r="AJ45" i="18" s="1"/>
  <c r="L32" i="31"/>
  <c r="AJ17" i="18" s="1"/>
  <c r="L325" i="31"/>
  <c r="AJ43" i="18" s="1"/>
  <c r="L296" i="31"/>
  <c r="AJ41" i="18" s="1"/>
  <c r="L337" i="31"/>
  <c r="AJ44" i="18" s="1"/>
  <c r="L83" i="31"/>
  <c r="AJ23" i="18" s="1"/>
  <c r="L312" i="31"/>
  <c r="AJ42" i="18" s="1"/>
  <c r="L72" i="31"/>
  <c r="F176" i="31"/>
  <c r="G176" i="31"/>
  <c r="G127" i="31"/>
  <c r="F127" i="31"/>
  <c r="G396" i="31"/>
  <c r="F396" i="31"/>
  <c r="F398" i="31" s="1"/>
  <c r="W53" i="18" s="1"/>
  <c r="Y53" i="18" s="1"/>
  <c r="F306" i="31"/>
  <c r="G306" i="31"/>
  <c r="G224" i="31"/>
  <c r="F224" i="31"/>
  <c r="F226" i="31" s="1"/>
  <c r="W34" i="18" s="1"/>
  <c r="Y34" i="18" s="1"/>
  <c r="AG46" i="18"/>
  <c r="G360" i="31"/>
  <c r="X46" i="18" s="1"/>
  <c r="Z46" i="18" s="1"/>
  <c r="G152" i="31"/>
  <c r="F152" i="31"/>
  <c r="F21" i="31"/>
  <c r="F23" i="31" s="1"/>
  <c r="G21" i="31"/>
  <c r="G23" i="31" s="1"/>
  <c r="X15" i="18" s="1"/>
  <c r="Z15" i="18" s="1"/>
  <c r="G247" i="31"/>
  <c r="G249" i="31" s="1"/>
  <c r="F247" i="31"/>
  <c r="AG21" i="18"/>
  <c r="AG23" i="18"/>
  <c r="AG49" i="18"/>
  <c r="F37" i="31"/>
  <c r="F39" i="31" s="1"/>
  <c r="W17" i="18" s="1"/>
  <c r="Y17" i="18" s="1"/>
  <c r="G37" i="31"/>
  <c r="G102" i="31"/>
  <c r="F102" i="31"/>
  <c r="AG42" i="18"/>
  <c r="G322" i="31"/>
  <c r="X42" i="18" s="1"/>
  <c r="Z42" i="18" s="1"/>
  <c r="G200" i="31"/>
  <c r="F200" i="31"/>
  <c r="AG47" i="18"/>
  <c r="AG54" i="18"/>
  <c r="G406" i="31"/>
  <c r="X54" i="18" s="1"/>
  <c r="Z54" i="18" s="1"/>
  <c r="AG45" i="18"/>
  <c r="G352" i="31"/>
  <c r="X45" i="18" s="1"/>
  <c r="Z45" i="18" s="1"/>
  <c r="G57" i="31"/>
  <c r="F57" i="31"/>
  <c r="AG43" i="18"/>
  <c r="AG52" i="18"/>
  <c r="AH52" i="18" s="1"/>
  <c r="AI52" i="18" s="1"/>
  <c r="G29" i="31"/>
  <c r="AG56" i="18"/>
  <c r="W16" i="18"/>
  <c r="W52" i="18"/>
  <c r="Y52" i="18" s="1"/>
  <c r="W14" i="18"/>
  <c r="AG14" i="18"/>
  <c r="AH14" i="18" s="1"/>
  <c r="AI14" i="18" s="1"/>
  <c r="Y40" i="18"/>
  <c r="AG48" i="18"/>
  <c r="G380" i="31"/>
  <c r="X48" i="18" s="1"/>
  <c r="Z48" i="18" s="1"/>
  <c r="AG44" i="18"/>
  <c r="G415" i="31"/>
  <c r="F415" i="31"/>
  <c r="F9" i="31"/>
  <c r="W59" i="18" s="1"/>
  <c r="Y59" i="18" s="1"/>
  <c r="G7" i="31"/>
  <c r="G9" i="31" s="1"/>
  <c r="I18" i="30" l="1"/>
  <c r="G443" i="31"/>
  <c r="X58" i="18" s="1"/>
  <c r="Z58" i="18" s="1"/>
  <c r="X59" i="18"/>
  <c r="Z59" i="18" s="1"/>
  <c r="AG59" i="18"/>
  <c r="AH59" i="18" s="1"/>
  <c r="AI59" i="18" s="1"/>
  <c r="AJ21" i="18"/>
  <c r="AJ22" i="18"/>
  <c r="W21" i="18"/>
  <c r="Y21" i="18" s="1"/>
  <c r="W22" i="18"/>
  <c r="Y22" i="18" s="1"/>
  <c r="H69" i="34"/>
  <c r="I69" i="34" s="1"/>
  <c r="AF22" i="18"/>
  <c r="AI22" i="18" s="1"/>
  <c r="AF58" i="18"/>
  <c r="AI58" i="18" s="1"/>
  <c r="H101" i="34"/>
  <c r="I101" i="34" s="1"/>
  <c r="AF19" i="18"/>
  <c r="H66" i="34"/>
  <c r="I66" i="34" s="1"/>
  <c r="G49" i="31"/>
  <c r="X19" i="18" s="1"/>
  <c r="Z19" i="18" s="1"/>
  <c r="E44" i="31"/>
  <c r="AE39" i="18"/>
  <c r="G281" i="31"/>
  <c r="G285" i="31" s="1"/>
  <c r="X39" i="18" s="1"/>
  <c r="Z39" i="18" s="1"/>
  <c r="H65" i="34"/>
  <c r="I65" i="34" s="1"/>
  <c r="AD19" i="18"/>
  <c r="AD60" i="18" s="1"/>
  <c r="AF20" i="18"/>
  <c r="AI20" i="18" s="1"/>
  <c r="H67" i="34"/>
  <c r="I67" i="34" s="1"/>
  <c r="E76" i="31"/>
  <c r="G80" i="31"/>
  <c r="G293" i="31"/>
  <c r="X40" i="18" s="1"/>
  <c r="Z40" i="18" s="1"/>
  <c r="AF17" i="18"/>
  <c r="H100" i="34"/>
  <c r="I100" i="34" s="1"/>
  <c r="E64" i="31"/>
  <c r="F69" i="31"/>
  <c r="W20" i="18" s="1"/>
  <c r="Y20" i="18" s="1"/>
  <c r="G69" i="31"/>
  <c r="X20" i="18" s="1"/>
  <c r="Z20" i="18" s="1"/>
  <c r="AF47" i="18"/>
  <c r="H94" i="34"/>
  <c r="I94" i="34" s="1"/>
  <c r="G91" i="31"/>
  <c r="X23" i="18" s="1"/>
  <c r="Z23" i="18" s="1"/>
  <c r="AF24" i="18"/>
  <c r="G257" i="31"/>
  <c r="G261" i="31" s="1"/>
  <c r="X37" i="18" s="1"/>
  <c r="Z37" i="18" s="1"/>
  <c r="AE37" i="18"/>
  <c r="G234" i="31"/>
  <c r="G238" i="31" s="1"/>
  <c r="X35" i="18" s="1"/>
  <c r="Z35" i="18" s="1"/>
  <c r="AE35" i="18"/>
  <c r="G210" i="31"/>
  <c r="G214" i="31" s="1"/>
  <c r="X33" i="18" s="1"/>
  <c r="Z33" i="18" s="1"/>
  <c r="AE33" i="18"/>
  <c r="G186" i="31"/>
  <c r="G190" i="31" s="1"/>
  <c r="X31" i="18" s="1"/>
  <c r="Z31" i="18" s="1"/>
  <c r="AE31" i="18"/>
  <c r="G162" i="31"/>
  <c r="G166" i="31" s="1"/>
  <c r="X29" i="18" s="1"/>
  <c r="Z29" i="18" s="1"/>
  <c r="AE29" i="18"/>
  <c r="G137" i="31"/>
  <c r="G141" i="31" s="1"/>
  <c r="X27" i="18" s="1"/>
  <c r="Z27" i="18" s="1"/>
  <c r="AE27" i="18"/>
  <c r="G112" i="31"/>
  <c r="G116" i="31" s="1"/>
  <c r="X25" i="18" s="1"/>
  <c r="Z25" i="18" s="1"/>
  <c r="AE25" i="18"/>
  <c r="F202" i="31"/>
  <c r="W32" i="18" s="1"/>
  <c r="Y32" i="18" s="1"/>
  <c r="F154" i="31"/>
  <c r="W28" i="18" s="1"/>
  <c r="Y28" i="18" s="1"/>
  <c r="F178" i="31"/>
  <c r="W30" i="18" s="1"/>
  <c r="Y30" i="18" s="1"/>
  <c r="H77" i="34"/>
  <c r="I77" i="34" s="1"/>
  <c r="AF30" i="18"/>
  <c r="AE26" i="18"/>
  <c r="G125" i="31"/>
  <c r="E125" i="31" s="1"/>
  <c r="H79" i="34"/>
  <c r="I79" i="34" s="1"/>
  <c r="AF32" i="18"/>
  <c r="H75" i="34"/>
  <c r="I75" i="34" s="1"/>
  <c r="AF28" i="18"/>
  <c r="F322" i="31"/>
  <c r="W42" i="18" s="1"/>
  <c r="Y42" i="18" s="1"/>
  <c r="F59" i="31"/>
  <c r="AF23" i="18"/>
  <c r="AF44" i="18"/>
  <c r="G344" i="31"/>
  <c r="X44" i="18" s="1"/>
  <c r="Z44" i="18" s="1"/>
  <c r="F417" i="31"/>
  <c r="W55" i="18" s="1"/>
  <c r="Y55" i="18" s="1"/>
  <c r="E87" i="31"/>
  <c r="G370" i="31"/>
  <c r="X47" i="18" s="1"/>
  <c r="Z47" i="18" s="1"/>
  <c r="AF49" i="18"/>
  <c r="G390" i="31"/>
  <c r="X49" i="18" s="1"/>
  <c r="Z49" i="18" s="1"/>
  <c r="F308" i="31"/>
  <c r="W41" i="18" s="1"/>
  <c r="Y41" i="18" s="1"/>
  <c r="AE21" i="18"/>
  <c r="H68" i="34" s="1"/>
  <c r="I68" i="34" s="1"/>
  <c r="G425" i="31"/>
  <c r="X56" i="18" s="1"/>
  <c r="Z56" i="18" s="1"/>
  <c r="AF56" i="18"/>
  <c r="AF53" i="18"/>
  <c r="E34" i="31"/>
  <c r="H64" i="34"/>
  <c r="I64" i="34" s="1"/>
  <c r="AF40" i="18"/>
  <c r="E326" i="31"/>
  <c r="AE43" i="18"/>
  <c r="F249" i="31"/>
  <c r="W36" i="18" s="1"/>
  <c r="Y36" i="18" s="1"/>
  <c r="H22" i="34"/>
  <c r="I22" i="34" s="1"/>
  <c r="Y14" i="18"/>
  <c r="H55" i="34"/>
  <c r="I55" i="34" s="1"/>
  <c r="AH47" i="18"/>
  <c r="AG13" i="18"/>
  <c r="AH13" i="18" s="1"/>
  <c r="W13" i="18"/>
  <c r="W51" i="18"/>
  <c r="Y51" i="18" s="1"/>
  <c r="H24" i="34"/>
  <c r="I24" i="34" s="1"/>
  <c r="Y16" i="18"/>
  <c r="E57" i="31"/>
  <c r="G59" i="31"/>
  <c r="AG18" i="18"/>
  <c r="E200" i="31"/>
  <c r="G202" i="31"/>
  <c r="X32" i="18" s="1"/>
  <c r="Z32" i="18" s="1"/>
  <c r="AG32" i="18"/>
  <c r="H39" i="34" s="1"/>
  <c r="I39" i="34" s="1"/>
  <c r="H57" i="34"/>
  <c r="I57" i="34" s="1"/>
  <c r="AH49" i="18"/>
  <c r="AH23" i="18"/>
  <c r="H31" i="34"/>
  <c r="I31" i="34" s="1"/>
  <c r="AG55" i="18"/>
  <c r="G417" i="31"/>
  <c r="X55" i="18" s="1"/>
  <c r="Z55" i="18" s="1"/>
  <c r="H61" i="34"/>
  <c r="I61" i="34" s="1"/>
  <c r="AH56" i="18"/>
  <c r="AH45" i="18"/>
  <c r="AI45" i="18" s="1"/>
  <c r="H53" i="34"/>
  <c r="I53" i="34" s="1"/>
  <c r="H50" i="34"/>
  <c r="I50" i="34" s="1"/>
  <c r="AH42" i="18"/>
  <c r="AI42" i="18" s="1"/>
  <c r="AG28" i="18"/>
  <c r="G154" i="31"/>
  <c r="X28" i="18" s="1"/>
  <c r="Z28" i="18" s="1"/>
  <c r="AG53" i="18"/>
  <c r="G398" i="31"/>
  <c r="X53" i="18" s="1"/>
  <c r="Z53" i="18" s="1"/>
  <c r="F104" i="31"/>
  <c r="F103" i="31"/>
  <c r="F128" i="31"/>
  <c r="F129" i="31"/>
  <c r="W26" i="18" s="1"/>
  <c r="Y26" i="18" s="1"/>
  <c r="X52" i="18"/>
  <c r="Z52" i="18" s="1"/>
  <c r="AG16" i="18"/>
  <c r="AH16" i="18" s="1"/>
  <c r="AI16" i="18" s="1"/>
  <c r="X16" i="18"/>
  <c r="Z16" i="18" s="1"/>
  <c r="H29" i="34"/>
  <c r="I29" i="34" s="1"/>
  <c r="AH21" i="18"/>
  <c r="H59" i="34"/>
  <c r="I59" i="34" s="1"/>
  <c r="AH54" i="18"/>
  <c r="AI54" i="18" s="1"/>
  <c r="G103" i="31"/>
  <c r="G104" i="31"/>
  <c r="X24" i="18" s="1"/>
  <c r="Z24" i="18" s="1"/>
  <c r="AG24" i="18"/>
  <c r="H54" i="34"/>
  <c r="I54" i="34" s="1"/>
  <c r="AH46" i="18"/>
  <c r="AI46" i="18" s="1"/>
  <c r="E127" i="31"/>
  <c r="G128" i="31"/>
  <c r="AG26" i="18"/>
  <c r="H52" i="34"/>
  <c r="I52" i="34" s="1"/>
  <c r="AH44" i="18"/>
  <c r="E37" i="31"/>
  <c r="AG17" i="18"/>
  <c r="G39" i="31"/>
  <c r="X17" i="18" s="1"/>
  <c r="Z17" i="18" s="1"/>
  <c r="E176" i="31"/>
  <c r="AG30" i="18"/>
  <c r="G178" i="31"/>
  <c r="X30" i="18" s="1"/>
  <c r="Z30" i="18" s="1"/>
  <c r="H51" i="34"/>
  <c r="I51" i="34" s="1"/>
  <c r="AH43" i="18"/>
  <c r="AG36" i="18"/>
  <c r="X36" i="18"/>
  <c r="Z36" i="18" s="1"/>
  <c r="AG34" i="18"/>
  <c r="G226" i="31"/>
  <c r="X34" i="18" s="1"/>
  <c r="Z34" i="18" s="1"/>
  <c r="X51" i="18"/>
  <c r="Z51" i="18" s="1"/>
  <c r="X13" i="18"/>
  <c r="Z13" i="18" s="1"/>
  <c r="AG51" i="18"/>
  <c r="AH51" i="18" s="1"/>
  <c r="AI51" i="18" s="1"/>
  <c r="AG41" i="18"/>
  <c r="G308" i="31"/>
  <c r="X41" i="18" s="1"/>
  <c r="Z41" i="18" s="1"/>
  <c r="H56" i="34"/>
  <c r="I56" i="34" s="1"/>
  <c r="AH48" i="18"/>
  <c r="AI48" i="18" s="1"/>
  <c r="W15" i="18"/>
  <c r="AG15" i="18"/>
  <c r="AH15" i="18" s="1"/>
  <c r="AI15" i="18" s="1"/>
  <c r="AJ60" i="18" l="1"/>
  <c r="AE60" i="18"/>
  <c r="X21" i="18"/>
  <c r="Z21" i="18" s="1"/>
  <c r="X22" i="18"/>
  <c r="Z22" i="18" s="1"/>
  <c r="AF39" i="18"/>
  <c r="AI39" i="18" s="1"/>
  <c r="H86" i="34"/>
  <c r="I86" i="34" s="1"/>
  <c r="AI19" i="18"/>
  <c r="AI56" i="18"/>
  <c r="AI49" i="18"/>
  <c r="AI44" i="18"/>
  <c r="AI23" i="18"/>
  <c r="AI47" i="18"/>
  <c r="AF27" i="18"/>
  <c r="AI27" i="18" s="1"/>
  <c r="H74" i="34"/>
  <c r="I74" i="34" s="1"/>
  <c r="AF35" i="18"/>
  <c r="AI35" i="18" s="1"/>
  <c r="H82" i="34"/>
  <c r="I82" i="34" s="1"/>
  <c r="AF29" i="18"/>
  <c r="AI29" i="18" s="1"/>
  <c r="H76" i="34"/>
  <c r="I76" i="34" s="1"/>
  <c r="AF37" i="18"/>
  <c r="AI37" i="18" s="1"/>
  <c r="H84" i="34"/>
  <c r="I84" i="34" s="1"/>
  <c r="AF31" i="18"/>
  <c r="AI31" i="18" s="1"/>
  <c r="H78" i="34"/>
  <c r="I78" i="34" s="1"/>
  <c r="AF25" i="18"/>
  <c r="AI25" i="18" s="1"/>
  <c r="H72" i="34"/>
  <c r="I72" i="34" s="1"/>
  <c r="AF33" i="18"/>
  <c r="AI33" i="18" s="1"/>
  <c r="H80" i="34"/>
  <c r="I80" i="34" s="1"/>
  <c r="W24" i="18"/>
  <c r="Y24" i="18" s="1"/>
  <c r="G129" i="31"/>
  <c r="X26" i="18" s="1"/>
  <c r="Z26" i="18" s="1"/>
  <c r="W18" i="18"/>
  <c r="Y18" i="18" s="1"/>
  <c r="H73" i="34"/>
  <c r="I73" i="34" s="1"/>
  <c r="AF26" i="18"/>
  <c r="AF21" i="18"/>
  <c r="H90" i="34"/>
  <c r="I90" i="34" s="1"/>
  <c r="AF43" i="18"/>
  <c r="AI43" i="18" s="1"/>
  <c r="AH26" i="18"/>
  <c r="H34" i="34"/>
  <c r="I34" i="34" s="1"/>
  <c r="AH53" i="18"/>
  <c r="AI53" i="18" s="1"/>
  <c r="H58" i="34"/>
  <c r="I58" i="34" s="1"/>
  <c r="H49" i="34"/>
  <c r="I49" i="34" s="1"/>
  <c r="AH41" i="18"/>
  <c r="AI41" i="18" s="1"/>
  <c r="H44" i="34"/>
  <c r="I44" i="34" s="1"/>
  <c r="AH36" i="18"/>
  <c r="AI36" i="18" s="1"/>
  <c r="H36" i="34"/>
  <c r="I36" i="34" s="1"/>
  <c r="AH28" i="18"/>
  <c r="AI28" i="18" s="1"/>
  <c r="AH24" i="18"/>
  <c r="AI24" i="18" s="1"/>
  <c r="H32" i="34"/>
  <c r="I32" i="34" s="1"/>
  <c r="AH32" i="18"/>
  <c r="AI32" i="18" s="1"/>
  <c r="H40" i="34"/>
  <c r="I40" i="34" s="1"/>
  <c r="H60" i="34"/>
  <c r="I60" i="34" s="1"/>
  <c r="AH55" i="18"/>
  <c r="AI55" i="18" s="1"/>
  <c r="H23" i="34"/>
  <c r="I23" i="34" s="1"/>
  <c r="Y15" i="18"/>
  <c r="H48" i="34"/>
  <c r="I48" i="34" s="1"/>
  <c r="AH40" i="18"/>
  <c r="H21" i="34"/>
  <c r="I21" i="34" s="1"/>
  <c r="Y13" i="18"/>
  <c r="H38" i="34"/>
  <c r="I38" i="34" s="1"/>
  <c r="AH30" i="18"/>
  <c r="AI30" i="18" s="1"/>
  <c r="H26" i="34"/>
  <c r="I26" i="34" s="1"/>
  <c r="AH18" i="18"/>
  <c r="AI18" i="18" s="1"/>
  <c r="AI13" i="18"/>
  <c r="AH34" i="18"/>
  <c r="AI34" i="18" s="1"/>
  <c r="H42" i="34"/>
  <c r="I42" i="34" s="1"/>
  <c r="X18" i="18"/>
  <c r="Z18" i="18" s="1"/>
  <c r="AH17" i="18"/>
  <c r="H25" i="34"/>
  <c r="I25" i="34" s="1"/>
  <c r="I104" i="34" l="1"/>
  <c r="G29" i="30" s="1"/>
  <c r="D66" i="18"/>
  <c r="AF60" i="18"/>
  <c r="AH60" i="18"/>
  <c r="Z60" i="18"/>
  <c r="Y60" i="18"/>
  <c r="AI26" i="18"/>
  <c r="AI21" i="18"/>
  <c r="AB40" i="18"/>
  <c r="AB60" i="18" s="1"/>
  <c r="H87" i="34"/>
  <c r="I87" i="34" s="1"/>
  <c r="I103" i="34" s="1"/>
  <c r="B67" i="18"/>
  <c r="AI17" i="18"/>
  <c r="I105" i="34" l="1"/>
  <c r="I106" i="34" s="1"/>
  <c r="AD76" i="18"/>
  <c r="U120" i="34" s="1"/>
  <c r="F121" i="34" s="1"/>
  <c r="F124" i="34" s="1"/>
  <c r="B70" i="18"/>
  <c r="AD77" i="18"/>
  <c r="D122" i="34" s="1"/>
  <c r="AI40" i="18"/>
  <c r="AI60" i="18" s="1"/>
  <c r="D62" i="18"/>
  <c r="D121" i="34" l="1"/>
  <c r="F125" i="34"/>
  <c r="F127" i="34" s="1"/>
  <c r="F123" i="34"/>
  <c r="D63" i="18"/>
  <c r="D65" i="18" s="1"/>
  <c r="AD75" i="18"/>
  <c r="AB62" i="18"/>
  <c r="AB63" i="18" s="1"/>
  <c r="I107" i="34"/>
  <c r="I111" i="34" s="1"/>
  <c r="U112" i="34" l="1"/>
  <c r="U111" i="34"/>
  <c r="V111" i="34" s="1"/>
  <c r="F129" i="34"/>
  <c r="D120" i="34"/>
  <c r="D124" i="34" s="1"/>
  <c r="AD78" i="18"/>
  <c r="AD80" i="18" s="1"/>
  <c r="D136" i="34"/>
  <c r="G137" i="34" s="1"/>
  <c r="F137" i="34" s="1"/>
  <c r="H137" i="34" s="1"/>
  <c r="D123" i="34" l="1"/>
  <c r="U123" i="34" s="1"/>
  <c r="V122" i="34" s="1"/>
  <c r="D125" i="34"/>
  <c r="D127" i="34" s="1"/>
  <c r="U124" i="34"/>
  <c r="V124" i="34" s="1"/>
  <c r="L26" i="30"/>
  <c r="L30" i="30"/>
  <c r="D129" i="34" l="1"/>
  <c r="V126" i="34"/>
  <c r="U126" i="34"/>
  <c r="E23" i="30" l="1"/>
  <c r="I112" i="34"/>
  <c r="U125" i="34"/>
  <c r="V125" i="34" s="1"/>
  <c r="I113" i="34" l="1"/>
  <c r="V117" i="34" s="1"/>
  <c r="D138" i="34"/>
  <c r="M151" i="34"/>
  <c r="M152" i="34"/>
  <c r="M149" i="34"/>
  <c r="H151" i="34"/>
  <c r="I151" i="34" s="1"/>
  <c r="U151" i="34" s="1"/>
  <c r="H155" i="34"/>
  <c r="I155" i="34" s="1"/>
  <c r="U155" i="34" s="1"/>
  <c r="H154" i="34"/>
  <c r="I154" i="34" s="1"/>
  <c r="U154" i="34" s="1"/>
  <c r="M148" i="34"/>
  <c r="M153" i="34"/>
  <c r="H149" i="34"/>
  <c r="I149" i="34" s="1"/>
  <c r="U149" i="34" s="1"/>
  <c r="H153" i="34"/>
  <c r="I153" i="34" s="1"/>
  <c r="U153" i="34" s="1"/>
  <c r="L158" i="34"/>
  <c r="H152" i="34"/>
  <c r="I152" i="34" s="1"/>
  <c r="U152" i="34" s="1"/>
  <c r="M154" i="34"/>
  <c r="M150" i="34"/>
  <c r="H148" i="34"/>
  <c r="H150" i="34"/>
  <c r="I150" i="34" s="1"/>
  <c r="U150" i="34" s="1"/>
  <c r="M155" i="34"/>
  <c r="G138" i="34" l="1"/>
  <c r="K127" i="34"/>
  <c r="U127" i="34"/>
  <c r="H156" i="34"/>
  <c r="G158" i="34" s="1"/>
  <c r="I148" i="34"/>
  <c r="U148" i="34" s="1"/>
  <c r="F138" i="34" l="1"/>
  <c r="H138" i="34" s="1"/>
  <c r="J127" i="34"/>
  <c r="F23" i="30"/>
  <c r="H108" i="34"/>
  <c r="H109" i="34" s="1"/>
  <c r="V127" i="34"/>
  <c r="U128" i="34" l="1"/>
  <c r="V128" i="34" s="1"/>
  <c r="G23" i="30"/>
  <c r="K27" i="30"/>
  <c r="I27" i="30"/>
  <c r="AB23" i="30"/>
  <c r="AB26" i="30" s="1"/>
  <c r="M26" i="30"/>
  <c r="Q23" i="30"/>
  <c r="Q26" i="30" s="1"/>
  <c r="K24" i="30"/>
  <c r="Z23" i="30"/>
  <c r="Z26" i="30" s="1"/>
  <c r="T23" i="30"/>
  <c r="T26" i="30" s="1"/>
  <c r="R23" i="30"/>
  <c r="R26" i="30" s="1"/>
  <c r="AA23" i="30"/>
  <c r="AA26" i="30" s="1"/>
  <c r="X23" i="30"/>
  <c r="X26" i="30" s="1"/>
  <c r="P23" i="30"/>
  <c r="P26" i="30" s="1"/>
  <c r="I24" i="30"/>
  <c r="I25" i="30" s="1"/>
  <c r="H27" i="30"/>
  <c r="V23" i="30"/>
  <c r="V26" i="30" s="1"/>
  <c r="O26" i="30"/>
  <c r="J24" i="30"/>
  <c r="Y23" i="30"/>
  <c r="Y26" i="30" s="1"/>
  <c r="N26" i="30"/>
  <c r="W23" i="30"/>
  <c r="W26" i="30" s="1"/>
  <c r="U23" i="30"/>
  <c r="U26" i="30" s="1"/>
  <c r="S23" i="30"/>
  <c r="S26" i="30" s="1"/>
  <c r="J27" i="30"/>
  <c r="L27" i="30"/>
  <c r="J25" i="30" l="1"/>
  <c r="K25" i="30" s="1"/>
  <c r="L25" i="30" s="1"/>
  <c r="M25" i="30" s="1"/>
  <c r="N25" i="30" s="1"/>
  <c r="O25" i="30" s="1"/>
  <c r="P25" i="30" s="1"/>
  <c r="Q25" i="30" s="1"/>
  <c r="R25" i="30" s="1"/>
  <c r="S25" i="30" s="1"/>
  <c r="T25" i="30" s="1"/>
  <c r="U25" i="30" s="1"/>
  <c r="V25" i="30" s="1"/>
  <c r="W25" i="30" s="1"/>
  <c r="X25" i="30" s="1"/>
  <c r="Y25" i="30" s="1"/>
  <c r="Z25" i="30" s="1"/>
  <c r="AA25" i="30" s="1"/>
  <c r="AB25" i="30" s="1"/>
  <c r="X27" i="30"/>
  <c r="X36" i="30"/>
  <c r="X37" i="30" s="1"/>
  <c r="N36" i="30"/>
  <c r="N37" i="30" s="1"/>
  <c r="N27" i="30"/>
  <c r="U27" i="30"/>
  <c r="U36" i="30"/>
  <c r="U37" i="30" s="1"/>
  <c r="Q27" i="30"/>
  <c r="Q36" i="30"/>
  <c r="Q37" i="30" s="1"/>
  <c r="R36" i="30"/>
  <c r="R37" i="30" s="1"/>
  <c r="R27" i="30"/>
  <c r="Y36" i="30"/>
  <c r="Y37" i="30" s="1"/>
  <c r="Y27" i="30"/>
  <c r="O36" i="30"/>
  <c r="O37" i="30" s="1"/>
  <c r="O27" i="30"/>
  <c r="M36" i="30"/>
  <c r="M27" i="30"/>
  <c r="AA36" i="30"/>
  <c r="AA37" i="30" s="1"/>
  <c r="AA27" i="30"/>
  <c r="T36" i="30"/>
  <c r="T37" i="30" s="1"/>
  <c r="T27" i="30"/>
  <c r="V27" i="30"/>
  <c r="V36" i="30"/>
  <c r="V37" i="30" s="1"/>
  <c r="AB27" i="30"/>
  <c r="AB36" i="30"/>
  <c r="AB37" i="30" s="1"/>
  <c r="Z36" i="30"/>
  <c r="Z37" i="30" s="1"/>
  <c r="Z27" i="30"/>
  <c r="S27" i="30"/>
  <c r="S36" i="30"/>
  <c r="S37" i="30" s="1"/>
  <c r="W36" i="30"/>
  <c r="W37" i="30" s="1"/>
  <c r="W27" i="30"/>
  <c r="P27" i="30"/>
  <c r="P36" i="30"/>
  <c r="P37" i="30" s="1"/>
  <c r="G26" i="30"/>
  <c r="G30" i="30"/>
  <c r="G27" i="30" l="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M37" i="30"/>
  <c r="M38" i="30" s="1"/>
  <c r="AC36" i="30"/>
  <c r="AC44" i="30" l="1"/>
  <c r="AD44" i="30" s="1"/>
  <c r="AC42" i="30"/>
  <c r="M42" i="30"/>
  <c r="N38" i="30"/>
  <c r="N42" i="30" l="1"/>
  <c r="O38" i="30"/>
  <c r="P38" i="30" l="1"/>
  <c r="O42" i="30"/>
  <c r="Q38" i="30" l="1"/>
  <c r="P42" i="30"/>
  <c r="R38" i="30" l="1"/>
  <c r="Q42" i="30"/>
  <c r="S38" i="30" l="1"/>
  <c r="R42" i="30"/>
  <c r="S42" i="30" l="1"/>
  <c r="T38" i="30"/>
  <c r="U38" i="30" l="1"/>
  <c r="T42" i="30"/>
  <c r="U42" i="30" l="1"/>
  <c r="V38" i="30"/>
  <c r="W38" i="30" l="1"/>
  <c r="V42" i="30"/>
  <c r="X38" i="30" l="1"/>
  <c r="W42" i="30"/>
  <c r="Y38" i="30" l="1"/>
  <c r="X42" i="30"/>
  <c r="Z38" i="30" l="1"/>
  <c r="Y42" i="30"/>
  <c r="AA38" i="30" l="1"/>
  <c r="Z42" i="30"/>
  <c r="AA42" i="30" l="1"/>
  <c r="AB38" i="30"/>
  <c r="AB42" i="30" s="1"/>
  <c r="O17" i="30" l="1"/>
  <c r="J16" i="30"/>
  <c r="J17" i="30" s="1"/>
  <c r="J18" i="30" s="1"/>
  <c r="K18" i="30" s="1"/>
  <c r="L18" i="30" s="1"/>
  <c r="M18" i="30" s="1"/>
  <c r="N18" i="30" s="1"/>
  <c r="O18" i="30" s="1"/>
  <c r="P18" i="30" s="1"/>
  <c r="Q18" i="30" s="1"/>
  <c r="R18" i="30" s="1"/>
  <c r="S18" i="30" s="1"/>
  <c r="T18" i="30" s="1"/>
  <c r="U18" i="30" s="1"/>
  <c r="V18" i="30" s="1"/>
  <c r="W18" i="30" s="1"/>
  <c r="X18" i="30" s="1"/>
  <c r="Y18" i="30" s="1"/>
  <c r="Z18" i="30" s="1"/>
  <c r="AA18" i="30" s="1"/>
  <c r="AB18" i="30" s="1"/>
  <c r="AC16"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 Buitrago Monsalve</author>
  </authors>
  <commentList>
    <comment ref="A12" authorId="0" shapeId="0" xr:uid="{00000000-0006-0000-0000-000001000000}">
      <text>
        <r>
          <rPr>
            <sz val="9"/>
            <color indexed="81"/>
            <rFont val="Tahoma"/>
            <family val="2"/>
          </rPr>
          <t>En caso que el proceso actual se derive de una contratación, considerar la programación física y financiera del proceso inicial para la programación del presente proceso</t>
        </r>
      </text>
    </comment>
    <comment ref="A13" authorId="0" shapeId="0" xr:uid="{00000000-0006-0000-0000-000002000000}">
      <text>
        <r>
          <rPr>
            <sz val="9"/>
            <color indexed="81"/>
            <rFont val="Tahoma"/>
            <family val="2"/>
          </rPr>
          <t>Desplegar las celdas ocultas en caso de requerirse</t>
        </r>
      </text>
    </comment>
    <comment ref="C13" authorId="0" shapeId="0" xr:uid="{00000000-0006-0000-0000-000003000000}">
      <text>
        <r>
          <rPr>
            <sz val="9"/>
            <color indexed="81"/>
            <rFont val="Tahoma"/>
            <family val="2"/>
          </rPr>
          <t xml:space="preserve">% de importancia respecto a cada clasificación
Diligenciar de acuerdo a los recursos que se destinen para la realización de cada subactividad, actividad y alcance, de acuerdo al caso, es decir el % de participación total en el presupuesto
</t>
        </r>
      </text>
    </comment>
    <comment ref="D13" authorId="0" shapeId="0" xr:uid="{00000000-0006-0000-0000-000004000000}">
      <text>
        <r>
          <rPr>
            <sz val="9"/>
            <color indexed="81"/>
            <rFont val="Tahoma"/>
            <family val="2"/>
          </rPr>
          <t>% de importancia de cada subactividad respecto a la meta/ producto a obtener</t>
        </r>
      </text>
    </comment>
    <comment ref="A15" authorId="0" shapeId="0" xr:uid="{00000000-0006-0000-0000-000005000000}">
      <text>
        <r>
          <rPr>
            <sz val="9"/>
            <color indexed="81"/>
            <rFont val="Tahoma"/>
            <family val="2"/>
          </rPr>
          <t>Realizar el análisis a nivel de subactividades, es decir, considerar, el alcance, la actividad y la subactividad, con el fin de tener concordancia con el PGAR.
Si no se requieren algunas de las filas, dejarlas sin diligenciar y ocultar. Verificar que estén en cero (0) antes de ocultar.</t>
        </r>
      </text>
    </comment>
    <comment ref="A16" authorId="0" shapeId="0" xr:uid="{00000000-0006-0000-0000-000006000000}">
      <text>
        <r>
          <rPr>
            <sz val="9"/>
            <color indexed="81"/>
            <rFont val="Tahoma"/>
            <family val="2"/>
          </rPr>
          <t>la suma del % de peso físico de los alcances debe de dar el 100% del producto a obtener.</t>
        </r>
      </text>
    </comment>
    <comment ref="A17" authorId="0" shapeId="0" xr:uid="{00000000-0006-0000-0000-000007000000}">
      <text>
        <r>
          <rPr>
            <sz val="9"/>
            <color indexed="81"/>
            <rFont val="Tahoma"/>
            <family val="2"/>
          </rPr>
          <t xml:space="preserve">
Suma de la ejecución de las subactividades en cada período</t>
        </r>
      </text>
    </comment>
    <comment ref="A18" authorId="0" shapeId="0" xr:uid="{00000000-0006-0000-0000-000008000000}">
      <text>
        <r>
          <rPr>
            <sz val="9"/>
            <color indexed="81"/>
            <rFont val="Tahoma"/>
            <family val="2"/>
          </rPr>
          <t xml:space="preserve">
Suma del total del período anterior + el total del período actual</t>
        </r>
      </text>
    </comment>
    <comment ref="E21" authorId="0" shapeId="0" xr:uid="{00000000-0006-0000-0000-000009000000}">
      <text>
        <r>
          <rPr>
            <sz val="9"/>
            <color indexed="81"/>
            <rFont val="Tahoma"/>
            <family val="2"/>
          </rPr>
          <t xml:space="preserve">
Valor total incluido los aportes en dinero y en especie, de todos los participantes</t>
        </r>
      </text>
    </comment>
    <comment ref="F21" authorId="0" shapeId="0" xr:uid="{00000000-0006-0000-0000-00000A000000}">
      <text>
        <r>
          <rPr>
            <sz val="9"/>
            <color indexed="81"/>
            <rFont val="Tahoma"/>
            <family val="2"/>
          </rPr>
          <t xml:space="preserve">
Valor total en dinero aportado por corantioquia</t>
        </r>
      </text>
    </comment>
    <comment ref="F23" authorId="0" shapeId="0" xr:uid="{00000000-0006-0000-0000-00000B000000}">
      <text>
        <r>
          <rPr>
            <sz val="9"/>
            <color indexed="81"/>
            <rFont val="Tahoma"/>
            <family val="2"/>
          </rPr>
          <t xml:space="preserve">
Verificar que la suma de los valores desembolsados en cada periodo sea igual al valor total aportado por Corantioquia, y que ello concuerde tanto en excel como en word, considerar que en el word se consignan valores enteros, y puede que en el presente libro se trabaja con valores con decimales, por tanto, por el manejo de decimales puede haber diferencias en pesos entre la suma de los valores parciales y el valor total en el word, verificar muy bien la información y realizar las correcciones necesarias </t>
        </r>
      </text>
    </comment>
    <comment ref="AB23" authorId="0" shapeId="0" xr:uid="{00000000-0006-0000-0000-00000C000000}">
      <text>
        <r>
          <rPr>
            <sz val="9"/>
            <color indexed="81"/>
            <rFont val="Tahoma"/>
            <family val="2"/>
          </rPr>
          <t xml:space="preserve">Verificar la programación financiera de la presente hoja de excel, con la programación financiera que se plasma en el documento (word) de los estudios previos o del Otrosí, de acuerdo al caso, las cuales deben concordar.
Se recomienda que en el documento word de los estudios previos queden los porcentajes de ejecución física y financiera, y no la expresión de los valores en pesos.
Considerar que en el proceso contractual los asesores jurídicos deben diligenciar la expresión de los valores en pesos en documentos en word, por tanto, se debe verificar que si se pasan los valores del excel al word como números enteros, por factores de decimales, si corresponda al valor del presupuesto total y no queden con pesos por encima o por debajo. </t>
        </r>
      </text>
    </comment>
    <comment ref="E24" authorId="0" shapeId="0" xr:uid="{00000000-0006-0000-0000-00000D000000}">
      <text>
        <r>
          <rPr>
            <sz val="9"/>
            <color indexed="81"/>
            <rFont val="Tahoma"/>
            <family val="2"/>
          </rPr>
          <t xml:space="preserve">
Peso %:
 Valor aportado por corantioquia en cada periodo / el valor (total) aportado por corantioquia</t>
        </r>
      </text>
    </comment>
    <comment ref="E25" authorId="0" shapeId="0" xr:uid="{00000000-0006-0000-0000-00000E000000}">
      <text>
        <r>
          <rPr>
            <sz val="9"/>
            <color indexed="81"/>
            <rFont val="Tahoma"/>
            <family val="2"/>
          </rPr>
          <t xml:space="preserve">
Suma del (%) del período anterior + el (%) del período actual</t>
        </r>
      </text>
    </comment>
    <comment ref="E27" authorId="0" shapeId="0" xr:uid="{00000000-0006-0000-0000-00000F000000}">
      <text>
        <r>
          <rPr>
            <sz val="9"/>
            <color indexed="81"/>
            <rFont val="Tahoma"/>
            <family val="2"/>
          </rPr>
          <t xml:space="preserve">
Esta información se compara con los datos disponibles en el PGAR.
Peso %:
 Valor desembolsado por corantioquia en cada periodo / el valor (total) aportado por corantioquia</t>
        </r>
      </text>
    </comment>
    <comment ref="E28" authorId="0" shapeId="0" xr:uid="{00000000-0006-0000-0000-000010000000}">
      <text>
        <r>
          <rPr>
            <sz val="9"/>
            <color indexed="81"/>
            <rFont val="Tahoma"/>
            <family val="2"/>
          </rPr>
          <t xml:space="preserve">
Esta información se compara con los datos disponibles en el PGAR.
Suma del (%) del período anterior + el (%) del período actual</t>
        </r>
      </text>
    </comment>
    <comment ref="C33" authorId="0" shapeId="0" xr:uid="{00000000-0006-0000-0000-000011000000}">
      <text>
        <r>
          <rPr>
            <sz val="9"/>
            <color indexed="81"/>
            <rFont val="Tahoma"/>
            <family val="2"/>
          </rPr>
          <t xml:space="preserve">
Diligenciar esta información solo en caso de Otrosí de adición de recursos o prórroga </t>
        </r>
      </text>
    </comment>
    <comment ref="E34" authorId="0" shapeId="0" xr:uid="{00000000-0006-0000-0000-000012000000}">
      <text>
        <r>
          <rPr>
            <sz val="9"/>
            <color indexed="81"/>
            <rFont val="Tahoma"/>
            <family val="2"/>
          </rPr>
          <t xml:space="preserve">
Valor aportado por corantioquia (solo en dinero) de manera inicial + las adiciones</t>
        </r>
      </text>
    </comment>
    <comment ref="F36" authorId="0" shapeId="0" xr:uid="{00000000-0006-0000-0000-000013000000}">
      <text>
        <r>
          <rPr>
            <sz val="9"/>
            <color indexed="81"/>
            <rFont val="Tahoma"/>
            <family val="2"/>
          </rPr>
          <t xml:space="preserve">
Diligenciar la información de los valores que efectivamente se han desembolsado, de acuerdo con la información en el PGAR</t>
        </r>
      </text>
    </comment>
    <comment ref="F39" authorId="0" shapeId="0" xr:uid="{00000000-0006-0000-0000-000014000000}">
      <text>
        <r>
          <rPr>
            <sz val="9"/>
            <color indexed="81"/>
            <rFont val="Tahoma"/>
            <family val="2"/>
          </rPr>
          <t xml:space="preserve">
Plasmar la planeación de los valores pendientes de ejecución o desembolso</t>
        </r>
      </text>
    </comment>
    <comment ref="C42" authorId="0" shapeId="0" xr:uid="{00000000-0006-0000-0000-000015000000}">
      <text>
        <r>
          <rPr>
            <sz val="9"/>
            <color indexed="81"/>
            <rFont val="Tahoma"/>
            <family val="2"/>
          </rPr>
          <t xml:space="preserve">
Suma del porcentaje acumulado de los valores ya ejecutados y el porcentaje acumulado de los valores por ejecutar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parteaga</author>
    <author>Marcela Buitrago Monsalve</author>
    <author>koogu</author>
    <author>tc={941F4FFC-E651-4D66-AB14-08FFB3BDD677}</author>
    <author>Carlos Andrés Jaramillo Osorio</author>
  </authors>
  <commentList>
    <comment ref="D2" authorId="0" shapeId="0" xr:uid="{00000000-0006-0000-0100-000001000000}">
      <text>
        <r>
          <rPr>
            <b/>
            <sz val="9"/>
            <color indexed="81"/>
            <rFont val="Tahoma"/>
            <family val="2"/>
          </rPr>
          <t>USUARIO:</t>
        </r>
        <r>
          <rPr>
            <sz val="9"/>
            <color indexed="81"/>
            <rFont val="Tahoma"/>
            <family val="2"/>
          </rPr>
          <t xml:space="preserve">
Debe ser igual al númeral 3.1 del EP, le falta la palabra Antioquia “Aunar esfuerzos para contribuir al saneamiento hídrico rural en el municipio de Vegachí – Antioquia”.</t>
        </r>
      </text>
    </comment>
    <comment ref="B64" authorId="1" shapeId="0" xr:uid="{00000000-0006-0000-0100-000002000000}">
      <text>
        <r>
          <rPr>
            <b/>
            <sz val="8"/>
            <color indexed="81"/>
            <rFont val="Tahoma"/>
            <family val="2"/>
          </rPr>
          <t>parteaga:
extraer MONC y llevarlo al cuadro de arriba.</t>
        </r>
      </text>
    </comment>
    <comment ref="I106" authorId="2" shapeId="0" xr:uid="{00000000-0006-0000-0100-000003000000}">
      <text>
        <r>
          <rPr>
            <b/>
            <sz val="9"/>
            <color indexed="81"/>
            <rFont val="Tahoma"/>
            <family val="2"/>
          </rPr>
          <t>Marcela Buitrago Monsalve:</t>
        </r>
        <r>
          <rPr>
            <sz val="9"/>
            <color indexed="81"/>
            <rFont val="Tahoma"/>
            <family val="2"/>
          </rPr>
          <t xml:space="preserve">
Se organizo la formula para no reconocer el AU sobre el IVA excluible</t>
        </r>
      </text>
    </comment>
    <comment ref="F126" authorId="2" shapeId="0" xr:uid="{00000000-0006-0000-0100-000004000000}">
      <text>
        <r>
          <rPr>
            <b/>
            <sz val="9"/>
            <color indexed="81"/>
            <rFont val="Tahoma"/>
            <family val="2"/>
          </rPr>
          <t>Marcela Buitrago Monsalve:</t>
        </r>
        <r>
          <rPr>
            <sz val="9"/>
            <color indexed="81"/>
            <rFont val="Tahoma"/>
            <family val="2"/>
          </rPr>
          <t xml:space="preserve">
Aporte en especie que viene respaldado en el CDP del municipio</t>
        </r>
      </text>
    </comment>
    <comment ref="F129" authorId="3" shapeId="0" xr:uid="{00000000-0006-0000-0100-000005000000}">
      <text>
        <r>
          <rPr>
            <b/>
            <sz val="9"/>
            <color indexed="81"/>
            <rFont val="Tahoma"/>
            <family val="2"/>
          </rPr>
          <t>koogu:</t>
        </r>
        <r>
          <rPr>
            <sz val="9"/>
            <color indexed="81"/>
            <rFont val="Tahoma"/>
            <family val="2"/>
          </rPr>
          <t xml:space="preserve">
DATOS/Análisis de hipótesis/Buscar objetivo
Con el Valor = 10%
Cambiando celda U119</t>
        </r>
      </text>
    </comment>
    <comment ref="C135" authorId="4" shapeId="0" xr:uid="{00000000-0006-0000-0100-000006000000}">
      <text>
        <r>
          <rPr>
            <sz val="10"/>
            <rFont val="Times New Roman"/>
            <family val="1"/>
          </rPr>
          <t>[Comentario encadenado]
Su versión de Excel le permite leer este comentario encadenado; sin embargo, las ediciones que se apliquen se quitarán si el archivo se abre en una versión más reciente de Excel. Más información: https://go.microsoft.com/fwlink/?linkid=870924
Comentario:
    Lo que va a dar el municipio</t>
        </r>
      </text>
    </comment>
    <comment ref="L147" authorId="5" shapeId="0" xr:uid="{00000000-0006-0000-0100-000007000000}">
      <text>
        <r>
          <rPr>
            <b/>
            <sz val="9"/>
            <color indexed="81"/>
            <rFont val="Tahoma"/>
            <family val="2"/>
          </rPr>
          <t xml:space="preserve">Carlos Andrés Jaramillo Osorio:
</t>
        </r>
        <r>
          <rPr>
            <sz val="9"/>
            <color indexed="81"/>
            <rFont val="Tahoma"/>
            <family val="2"/>
          </rPr>
          <t xml:space="preserve">Valor promedio (Vp) del tanque es mayor que el valor unitario (Vu)? (SI/NO)
</t>
        </r>
      </text>
    </comment>
    <comment ref="U147" authorId="5" shapeId="0" xr:uid="{00000000-0006-0000-0100-000008000000}">
      <text>
        <r>
          <rPr>
            <b/>
            <sz val="9"/>
            <color indexed="81"/>
            <rFont val="Tahoma"/>
            <family val="2"/>
          </rPr>
          <t xml:space="preserve">Carlos Andrés Jaramillo Osorio:
</t>
        </r>
        <r>
          <rPr>
            <sz val="9"/>
            <color indexed="81"/>
            <rFont val="Tahoma"/>
            <family val="2"/>
          </rPr>
          <t xml:space="preserve">Valor promedio (Vp) del tanque es mayor que el valor unitario (Vu)? (SI/NO)
</t>
        </r>
      </text>
    </comment>
    <comment ref="L164" authorId="5" shapeId="0" xr:uid="{00000000-0006-0000-0100-000009000000}">
      <text>
        <r>
          <rPr>
            <b/>
            <sz val="9"/>
            <color indexed="81"/>
            <rFont val="Tahoma"/>
            <family val="2"/>
          </rPr>
          <t>Carlos Andrés Jaramillo Osorio:</t>
        </r>
        <r>
          <rPr>
            <sz val="9"/>
            <color indexed="81"/>
            <rFont val="Tahoma"/>
            <family val="2"/>
          </rPr>
          <t xml:space="preserve">
En caso de que el presupuesto del municipio sea inferior a $74.877.393, ingresar cantidad en dinero de la que dispone el municipio</t>
        </r>
      </text>
    </comment>
    <comment ref="L165" authorId="5" shapeId="0" xr:uid="{00000000-0006-0000-0100-00000A000000}">
      <text>
        <r>
          <rPr>
            <b/>
            <sz val="9"/>
            <color indexed="81"/>
            <rFont val="Tahoma"/>
            <family val="2"/>
          </rPr>
          <t>Carlos Andrés Jaramillo Osorio:</t>
        </r>
        <r>
          <rPr>
            <sz val="9"/>
            <color indexed="81"/>
            <rFont val="Tahoma"/>
            <family val="2"/>
          </rPr>
          <t xml:space="preserve">
 En caso que presupuesto de lmunicipio sea inferior a $37.438.697, ingresar cantidad en dinero de la que dispone el municipio</t>
        </r>
      </text>
    </comment>
    <comment ref="E170" authorId="5" shapeId="0" xr:uid="{00000000-0006-0000-0100-00000B000000}">
      <text>
        <r>
          <rPr>
            <b/>
            <sz val="9"/>
            <color indexed="81"/>
            <rFont val="Tahoma"/>
            <family val="2"/>
          </rPr>
          <t>Carlos Andrés Jaramillo Osorio:</t>
        </r>
        <r>
          <rPr>
            <sz val="9"/>
            <color indexed="81"/>
            <rFont val="Tahoma"/>
            <family val="2"/>
          </rPr>
          <t xml:space="preserve">
Se utiliza para conocer el  número de tanques y valor de cofinanciación de Corantioquia con base en los recursos del municipio, manteniendo un esquema de cofinanciación 80/20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CORANTIOQUIA</author>
    <author>Luz Stella Palacio</author>
    <author>Samsung</author>
    <author>Martha Isabel Bustos Giraldo</author>
    <author>Sandra Patricia Gallo Villa</author>
    <author>usuario</author>
  </authors>
  <commentList>
    <comment ref="U6" authorId="0" shapeId="0" xr:uid="{00000000-0006-0000-0200-000001000000}">
      <text>
        <r>
          <rPr>
            <b/>
            <sz val="8"/>
            <color indexed="81"/>
            <rFont val="Tahoma"/>
            <family val="2"/>
          </rPr>
          <t>CANTIDAD SIN REDONDEAR</t>
        </r>
      </text>
    </comment>
    <comment ref="V6" authorId="0" shapeId="0" xr:uid="{00000000-0006-0000-0200-000002000000}">
      <text>
        <r>
          <rPr>
            <b/>
            <sz val="8"/>
            <color indexed="81"/>
            <rFont val="Tahoma"/>
            <family val="2"/>
          </rPr>
          <t>CANTIDAD REDONDEADA</t>
        </r>
      </text>
    </comment>
    <comment ref="E17" authorId="1" shapeId="0" xr:uid="{00000000-0006-0000-0200-000003000000}">
      <text>
        <r>
          <rPr>
            <b/>
            <sz val="10"/>
            <color indexed="81"/>
            <rFont val="Tahoma"/>
            <family val="2"/>
          </rPr>
          <t xml:space="preserve">Efluente+purga+red  secundaria vivienda </t>
        </r>
      </text>
    </comment>
    <comment ref="G17" authorId="1" shapeId="0" xr:uid="{00000000-0006-0000-0200-000004000000}">
      <text>
        <r>
          <rPr>
            <b/>
            <sz val="10"/>
            <color indexed="81"/>
            <rFont val="Tahoma"/>
            <family val="2"/>
          </rPr>
          <t xml:space="preserve">70% Red secundaria vivienda </t>
        </r>
      </text>
    </comment>
    <comment ref="I17" authorId="1" shapeId="0" xr:uid="{00000000-0006-0000-0200-000005000000}">
      <text>
        <r>
          <rPr>
            <b/>
            <sz val="10"/>
            <color indexed="81"/>
            <rFont val="Tahoma"/>
            <family val="2"/>
          </rPr>
          <t xml:space="preserve">70% Red secundaria vivienda </t>
        </r>
      </text>
    </comment>
    <comment ref="K17" authorId="1" shapeId="0" xr:uid="{00000000-0006-0000-0200-000006000000}">
      <text>
        <r>
          <rPr>
            <b/>
            <sz val="10"/>
            <color indexed="81"/>
            <rFont val="Tahoma"/>
            <family val="2"/>
          </rPr>
          <t xml:space="preserve">70% Red secundaria vivienda </t>
        </r>
      </text>
    </comment>
    <comment ref="M17" authorId="1" shapeId="0" xr:uid="{00000000-0006-0000-0200-000007000000}">
      <text>
        <r>
          <rPr>
            <b/>
            <sz val="10"/>
            <color indexed="81"/>
            <rFont val="Tahoma"/>
            <family val="2"/>
          </rPr>
          <t xml:space="preserve">70% Red secundaria vivienda </t>
        </r>
      </text>
    </comment>
    <comment ref="O17" authorId="1" shapeId="0" xr:uid="{00000000-0006-0000-0200-000008000000}">
      <text>
        <r>
          <rPr>
            <b/>
            <sz val="10"/>
            <color indexed="81"/>
            <rFont val="Tahoma"/>
            <family val="2"/>
          </rPr>
          <t xml:space="preserve">70% Red secundaria vivienda </t>
        </r>
      </text>
    </comment>
    <comment ref="E18" authorId="0" shapeId="0" xr:uid="{00000000-0006-0000-0200-000009000000}">
      <text>
        <r>
          <rPr>
            <b/>
            <sz val="10"/>
            <color indexed="81"/>
            <rFont val="Tahoma"/>
            <family val="2"/>
          </rPr>
          <t>Conexión vivienda - T.S + Purga hasta valvula (3 m) + 30% red secundaria de la vivienda
Asumir que el 70% de las viviendas tienen la domiciliar en 3"</t>
        </r>
      </text>
    </comment>
    <comment ref="G18" authorId="0" shapeId="0" xr:uid="{00000000-0006-0000-0200-00000A000000}">
      <text>
        <r>
          <rPr>
            <b/>
            <sz val="10"/>
            <color indexed="81"/>
            <rFont val="Tahoma"/>
            <family val="2"/>
          </rPr>
          <t>Conexión vivienda - T.S + Purga hasta valvula + 30% red secundaria de la vivienda</t>
        </r>
      </text>
    </comment>
    <comment ref="I18" authorId="0" shapeId="0" xr:uid="{00000000-0006-0000-0200-00000B000000}">
      <text>
        <r>
          <rPr>
            <b/>
            <sz val="10"/>
            <color indexed="81"/>
            <rFont val="Tahoma"/>
            <family val="2"/>
          </rPr>
          <t>Conexión vivienda - T.S + Purga hasta valvula + 30% red secundaria de la vivienda</t>
        </r>
      </text>
    </comment>
    <comment ref="K18" authorId="0" shapeId="0" xr:uid="{00000000-0006-0000-0200-00000C000000}">
      <text>
        <r>
          <rPr>
            <b/>
            <sz val="10"/>
            <color indexed="81"/>
            <rFont val="Tahoma"/>
            <family val="2"/>
          </rPr>
          <t>Conexión vivienda - T.S + Purga completa + efluente + 30% red secundaria de la vivienda</t>
        </r>
      </text>
    </comment>
    <comment ref="M18" authorId="0" shapeId="0" xr:uid="{00000000-0006-0000-0200-00000D000000}">
      <text>
        <r>
          <rPr>
            <b/>
            <sz val="10"/>
            <color indexed="81"/>
            <rFont val="Tahoma"/>
            <family val="2"/>
          </rPr>
          <t>Conexión vivienda - T.S + Purga completa + efluente + 30% red secundaria de la vivienda</t>
        </r>
      </text>
    </comment>
    <comment ref="O18" authorId="0" shapeId="0" xr:uid="{00000000-0006-0000-0200-00000E000000}">
      <text>
        <r>
          <rPr>
            <b/>
            <sz val="10"/>
            <color indexed="81"/>
            <rFont val="Tahoma"/>
            <family val="2"/>
          </rPr>
          <t>Conexión vivienda - T.S + Purga completa + efluente</t>
        </r>
      </text>
    </comment>
    <comment ref="AD18" authorId="2" shapeId="0" xr:uid="{00000000-0006-0000-0200-00000F000000}">
      <text>
        <r>
          <rPr>
            <b/>
            <sz val="9"/>
            <color indexed="81"/>
            <rFont val="Tahoma"/>
            <family val="2"/>
          </rPr>
          <t>Samsung:</t>
        </r>
        <r>
          <rPr>
            <sz val="9"/>
            <color indexed="81"/>
            <rFont val="Tahoma"/>
            <family val="2"/>
          </rPr>
          <t xml:space="preserve">
CORANTIOQUIA</t>
        </r>
      </text>
    </comment>
    <comment ref="AD21" authorId="2" shapeId="0" xr:uid="{00000000-0006-0000-0200-000010000000}">
      <text>
        <r>
          <rPr>
            <b/>
            <sz val="9"/>
            <color indexed="81"/>
            <rFont val="Tahoma"/>
            <family val="2"/>
          </rPr>
          <t>Samsung:</t>
        </r>
        <r>
          <rPr>
            <sz val="9"/>
            <color indexed="81"/>
            <rFont val="Tahoma"/>
            <family val="2"/>
          </rPr>
          <t xml:space="preserve">
CORANTIOQUIA</t>
        </r>
      </text>
    </comment>
    <comment ref="AD22" authorId="2" shapeId="0" xr:uid="{00000000-0006-0000-0200-000011000000}">
      <text>
        <r>
          <rPr>
            <b/>
            <sz val="9"/>
            <color indexed="81"/>
            <rFont val="Tahoma"/>
            <family val="2"/>
          </rPr>
          <t>Samsung:</t>
        </r>
        <r>
          <rPr>
            <sz val="9"/>
            <color indexed="81"/>
            <rFont val="Tahoma"/>
            <family val="2"/>
          </rPr>
          <t xml:space="preserve">
CORANTIOQUIA</t>
        </r>
      </text>
    </comment>
    <comment ref="C40" authorId="2" shapeId="0" xr:uid="{00000000-0006-0000-0200-000012000000}">
      <text>
        <r>
          <rPr>
            <b/>
            <sz val="9"/>
            <color indexed="81"/>
            <rFont val="Tahoma"/>
            <family val="2"/>
          </rPr>
          <t>Samsung:</t>
        </r>
        <r>
          <rPr>
            <sz val="9"/>
            <color indexed="81"/>
            <rFont val="Tahoma"/>
            <family val="2"/>
          </rPr>
          <t xml:space="preserve">
Se da 0.5 metros para cada caja de valvula</t>
        </r>
      </text>
    </comment>
    <comment ref="C41" authorId="2" shapeId="0" xr:uid="{00000000-0006-0000-0200-000013000000}">
      <text>
        <r>
          <rPr>
            <b/>
            <sz val="9"/>
            <color indexed="81"/>
            <rFont val="Tahoma"/>
            <family val="2"/>
          </rPr>
          <t>Samsung:</t>
        </r>
        <r>
          <rPr>
            <sz val="9"/>
            <color indexed="81"/>
            <rFont val="Tahoma"/>
            <family val="2"/>
          </rPr>
          <t xml:space="preserve">
Se da 0.5 metros para cada caja de valvula</t>
        </r>
      </text>
    </comment>
    <comment ref="AD41" authorId="2" shapeId="0" xr:uid="{00000000-0006-0000-0200-000014000000}">
      <text>
        <r>
          <rPr>
            <b/>
            <sz val="9"/>
            <color indexed="81"/>
            <rFont val="Tahoma"/>
            <family val="2"/>
          </rPr>
          <t>Samsung:</t>
        </r>
        <r>
          <rPr>
            <sz val="9"/>
            <color indexed="81"/>
            <rFont val="Tahoma"/>
            <family val="2"/>
          </rPr>
          <t xml:space="preserve">
CORANTIOQUIA
</t>
        </r>
      </text>
    </comment>
    <comment ref="AD42" authorId="2" shapeId="0" xr:uid="{00000000-0006-0000-0200-000015000000}">
      <text>
        <r>
          <rPr>
            <b/>
            <sz val="9"/>
            <color indexed="81"/>
            <rFont val="Tahoma"/>
            <family val="2"/>
          </rPr>
          <t>Samsung:</t>
        </r>
        <r>
          <rPr>
            <sz val="9"/>
            <color indexed="81"/>
            <rFont val="Tahoma"/>
            <family val="2"/>
          </rPr>
          <t xml:space="preserve">
CORANTIOQUIA</t>
        </r>
      </text>
    </comment>
    <comment ref="AD43" authorId="2" shapeId="0" xr:uid="{00000000-0006-0000-0200-000016000000}">
      <text>
        <r>
          <rPr>
            <b/>
            <sz val="9"/>
            <color indexed="81"/>
            <rFont val="Tahoma"/>
            <family val="2"/>
          </rPr>
          <t>Samsung:</t>
        </r>
        <r>
          <rPr>
            <sz val="9"/>
            <color indexed="81"/>
            <rFont val="Tahoma"/>
            <family val="2"/>
          </rPr>
          <t xml:space="preserve">
CORANTIOQUIA</t>
        </r>
      </text>
    </comment>
    <comment ref="C44" authorId="2" shapeId="0" xr:uid="{00000000-0006-0000-0200-000017000000}">
      <text>
        <r>
          <rPr>
            <b/>
            <sz val="9"/>
            <color indexed="81"/>
            <rFont val="Tahoma"/>
            <family val="2"/>
          </rPr>
          <t>Samsung:</t>
        </r>
        <r>
          <rPr>
            <sz val="9"/>
            <color indexed="81"/>
            <rFont val="Tahoma"/>
            <family val="2"/>
          </rPr>
          <t xml:space="preserve">
Se da 0.5 metros para cada caja de valvula</t>
        </r>
      </text>
    </comment>
    <comment ref="AD44" authorId="2" shapeId="0" xr:uid="{00000000-0006-0000-0200-000018000000}">
      <text>
        <r>
          <rPr>
            <b/>
            <sz val="9"/>
            <color indexed="81"/>
            <rFont val="Tahoma"/>
            <family val="2"/>
          </rPr>
          <t>Samsung:</t>
        </r>
        <r>
          <rPr>
            <sz val="9"/>
            <color indexed="81"/>
            <rFont val="Tahoma"/>
            <family val="2"/>
          </rPr>
          <t xml:space="preserve">
CORANTIOQUIA
</t>
        </r>
      </text>
    </comment>
    <comment ref="C45" authorId="2" shapeId="0" xr:uid="{00000000-0006-0000-0200-000019000000}">
      <text>
        <r>
          <rPr>
            <b/>
            <sz val="9"/>
            <color indexed="81"/>
            <rFont val="Tahoma"/>
            <family val="2"/>
          </rPr>
          <t>Samsung:</t>
        </r>
        <r>
          <rPr>
            <sz val="9"/>
            <color indexed="81"/>
            <rFont val="Tahoma"/>
            <family val="2"/>
          </rPr>
          <t xml:space="preserve">
Promedio de la distancia del tanque a la fuente</t>
        </r>
      </text>
    </comment>
    <comment ref="AD47" authorId="2" shapeId="0" xr:uid="{00000000-0006-0000-0200-00001A000000}">
      <text>
        <r>
          <rPr>
            <b/>
            <sz val="9"/>
            <color indexed="81"/>
            <rFont val="Tahoma"/>
            <family val="2"/>
          </rPr>
          <t>Samsung:</t>
        </r>
        <r>
          <rPr>
            <sz val="9"/>
            <color indexed="81"/>
            <rFont val="Tahoma"/>
            <family val="2"/>
          </rPr>
          <t xml:space="preserve">
CORANTIOQUIA</t>
        </r>
      </text>
    </comment>
    <comment ref="AD48" authorId="2" shapeId="0" xr:uid="{00000000-0006-0000-0200-00001B000000}">
      <text>
        <r>
          <rPr>
            <b/>
            <sz val="9"/>
            <color indexed="81"/>
            <rFont val="Tahoma"/>
            <family val="2"/>
          </rPr>
          <t>Samsung:</t>
        </r>
        <r>
          <rPr>
            <sz val="9"/>
            <color indexed="81"/>
            <rFont val="Tahoma"/>
            <family val="2"/>
          </rPr>
          <t xml:space="preserve">
CORANTIOQUIA</t>
        </r>
      </text>
    </comment>
    <comment ref="E49" authorId="3" shapeId="0" xr:uid="{00000000-0006-0000-0200-00001C000000}">
      <text>
        <r>
          <rPr>
            <b/>
            <sz val="9"/>
            <color indexed="81"/>
            <rFont val="Tahoma"/>
            <family val="2"/>
          </rPr>
          <t>Martha Isabel Bustos Giraldo:</t>
        </r>
        <r>
          <rPr>
            <sz val="9"/>
            <color indexed="81"/>
            <rFont val="Tahoma"/>
            <family val="2"/>
          </rPr>
          <t xml:space="preserve">
ojo cuando tanques planos poner manual
caso oia Afro
</t>
        </r>
      </text>
    </comment>
    <comment ref="AD49" authorId="2" shapeId="0" xr:uid="{00000000-0006-0000-0200-00001D000000}">
      <text>
        <r>
          <rPr>
            <b/>
            <sz val="9"/>
            <color indexed="81"/>
            <rFont val="Tahoma"/>
            <family val="2"/>
          </rPr>
          <t>Samsung:</t>
        </r>
        <r>
          <rPr>
            <sz val="9"/>
            <color indexed="81"/>
            <rFont val="Tahoma"/>
            <family val="2"/>
          </rPr>
          <t xml:space="preserve">
CORANTIOQUIA</t>
        </r>
      </text>
    </comment>
    <comment ref="C50" authorId="0" shapeId="0" xr:uid="{00000000-0006-0000-0200-00001E000000}">
      <text>
        <r>
          <rPr>
            <b/>
            <sz val="10"/>
            <color indexed="81"/>
            <rFont val="Tahoma"/>
            <family val="2"/>
          </rPr>
          <t>El pozo tendrá una profundidad de  3 pisos de cajas de gaseosa, (aporx 75 cm) el área superficial puede ser el 1.3 a 1.5 veces la capacidad del tanque en volumen.</t>
        </r>
      </text>
    </comment>
    <comment ref="E51" authorId="1" shapeId="0" xr:uid="{00000000-0006-0000-0200-00001F000000}">
      <text>
        <r>
          <rPr>
            <b/>
            <sz val="10"/>
            <color indexed="81"/>
            <rFont val="Tahoma"/>
            <family val="2"/>
          </rPr>
          <t>Asumir 0,1 por cada habitante.  Los pozos de absorción de esta capacidad tienen un volumen de 1m3</t>
        </r>
      </text>
    </comment>
    <comment ref="E53" authorId="0" shapeId="0" xr:uid="{00000000-0006-0000-0200-000020000000}">
      <text>
        <r>
          <rPr>
            <b/>
            <sz val="10"/>
            <color indexed="81"/>
            <rFont val="Tahoma"/>
            <family val="2"/>
          </rPr>
          <t>según dimensiones de pozo de absorción, más 0.10 para doble del geosintético a cada lado, asumiendo profundidad de 1 metro</t>
        </r>
      </text>
    </comment>
    <comment ref="E54" authorId="4" shapeId="0" xr:uid="{00000000-0006-0000-0200-000021000000}">
      <text>
        <r>
          <rPr>
            <b/>
            <sz val="9"/>
            <color indexed="81"/>
            <rFont val="Tahoma"/>
            <family val="2"/>
          </rPr>
          <t>son 3 pisos de cajas cada piso de 9 cajas para tanques hasta de 4000 litros</t>
        </r>
      </text>
    </comment>
    <comment ref="AK65" authorId="5" shapeId="0" xr:uid="{00000000-0006-0000-0200-000022000000}">
      <text>
        <r>
          <rPr>
            <b/>
            <sz val="9"/>
            <color indexed="81"/>
            <rFont val="Tahoma"/>
            <family val="2"/>
          </rPr>
          <t>usuario:</t>
        </r>
        <r>
          <rPr>
            <sz val="9"/>
            <color indexed="81"/>
            <rFont val="Tahoma"/>
            <family val="2"/>
          </rPr>
          <t xml:space="preserve">
De acuerdo a la RES 040-RES2104-21463</t>
        </r>
      </text>
    </comment>
    <comment ref="AD79" authorId="4" shapeId="0" xr:uid="{00000000-0006-0000-0200-000023000000}">
      <text>
        <r>
          <rPr>
            <sz val="9"/>
            <color indexed="81"/>
            <rFont val="Tahoma"/>
            <family val="2"/>
          </rPr>
          <t xml:space="preserve">
REVISAR TABLA DE TARIFAS TRAMITES AMBIENTALES
</t>
        </r>
      </text>
    </comment>
    <comment ref="AD80" authorId="4" shapeId="0" xr:uid="{00000000-0006-0000-0200-000024000000}">
      <text>
        <r>
          <rPr>
            <sz val="9"/>
            <color indexed="81"/>
            <rFont val="Tahoma"/>
            <family val="2"/>
          </rPr>
          <t xml:space="preserve">
REVISAR TABLA DE TARIFAS TRAMITES AMBIENTALES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Jaime León Moreno Quiroz</author>
    <author>usuario</author>
    <author>koogu</author>
  </authors>
  <commentList>
    <comment ref="I3" authorId="0" shapeId="0" xr:uid="{00000000-0006-0000-0300-000001000000}">
      <text>
        <r>
          <rPr>
            <sz val="9"/>
            <color indexed="81"/>
            <rFont val="Tahoma"/>
            <family val="2"/>
          </rPr>
          <t xml:space="preserve">
3"</t>
        </r>
      </text>
    </comment>
    <comment ref="J3" authorId="1" shapeId="0" xr:uid="{00000000-0006-0000-0300-000002000000}">
      <text>
        <r>
          <rPr>
            <b/>
            <sz val="9"/>
            <color indexed="81"/>
            <rFont val="Tahoma"/>
            <family val="2"/>
          </rPr>
          <t>usuario:</t>
        </r>
        <r>
          <rPr>
            <sz val="9"/>
            <color indexed="81"/>
            <rFont val="Tahoma"/>
            <family val="2"/>
          </rPr>
          <t xml:space="preserve">
2"
</t>
        </r>
      </text>
    </comment>
    <comment ref="L3" authorId="1" shapeId="0" xr:uid="{00000000-0006-0000-0300-000003000000}">
      <text>
        <r>
          <rPr>
            <b/>
            <sz val="9"/>
            <color indexed="81"/>
            <rFont val="Tahoma"/>
            <family val="2"/>
          </rPr>
          <t>Diligenciar esta columna con Si ó No, ya que es necesaria para los cálculos.</t>
        </r>
        <r>
          <rPr>
            <sz val="9"/>
            <color indexed="81"/>
            <rFont val="Tahoma"/>
            <family val="2"/>
          </rPr>
          <t xml:space="preserve">
</t>
        </r>
      </text>
    </comment>
    <comment ref="C6" authorId="2" shapeId="0" xr:uid="{00000000-0006-0000-0300-000004000000}">
      <text>
        <r>
          <rPr>
            <b/>
            <sz val="9"/>
            <color indexed="81"/>
            <rFont val="Tahoma"/>
            <family val="2"/>
          </rPr>
          <t>koogu:</t>
        </r>
        <r>
          <rPr>
            <sz val="9"/>
            <color indexed="81"/>
            <rFont val="Tahoma"/>
            <family val="2"/>
          </rPr>
          <t xml:space="preserve">
Busque su municipio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Duvan Rodriguez</author>
    <author>Usuario</author>
  </authors>
  <commentList>
    <comment ref="C8" authorId="0" shapeId="0" xr:uid="{00000000-0006-0000-0400-000001000000}">
      <text>
        <r>
          <rPr>
            <b/>
            <sz val="9"/>
            <color indexed="81"/>
            <rFont val="Tahoma"/>
            <family val="2"/>
          </rPr>
          <t>Duvan Rodriguez:</t>
        </r>
        <r>
          <rPr>
            <sz val="9"/>
            <color indexed="81"/>
            <rFont val="Tahoma"/>
            <family val="2"/>
          </rPr>
          <t xml:space="preserve">
Se calcula con 2 SMLV</t>
        </r>
      </text>
    </comment>
    <comment ref="C133" authorId="1" shapeId="0" xr:uid="{00000000-0006-0000-0400-000002000000}">
      <text>
        <r>
          <rPr>
            <b/>
            <sz val="9"/>
            <color indexed="81"/>
            <rFont val="Tahoma"/>
            <family val="2"/>
          </rPr>
          <t>Usuario:</t>
        </r>
        <r>
          <rPr>
            <sz val="9"/>
            <color indexed="81"/>
            <rFont val="Tahoma"/>
            <family val="2"/>
          </rPr>
          <t xml:space="preserve">
La hoja APU 2022
 considera el calculo del transporte por cada sistema, teniendo en cuenta que el camino que es comunmente utilizado para estos elelmentos tiene una capacidad aproximada de 5 sistemas con capacidad de atender hasta 10 personas.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CORANTIOQUIA</author>
    <author>BlackCrystal™</author>
    <author>Sandra Patricia Gallo Villa</author>
    <author>Jaime León Moreno Quiroz</author>
    <author>usuario</author>
    <author>Maribel Cardona   Henao</author>
  </authors>
  <commentList>
    <comment ref="D52" authorId="0" shapeId="0" xr:uid="{00000000-0006-0000-0500-000001000000}">
      <text>
        <r>
          <rPr>
            <b/>
            <sz val="8"/>
            <color indexed="81"/>
            <rFont val="Tahoma"/>
            <family val="2"/>
          </rPr>
          <t xml:space="preserve">Pavco actualización de precios a febrero de 2022
</t>
        </r>
      </text>
    </comment>
    <comment ref="D53" authorId="1" shapeId="0" xr:uid="{00000000-0006-0000-0500-000002000000}">
      <text>
        <r>
          <rPr>
            <b/>
            <sz val="8"/>
            <color indexed="81"/>
            <rFont val="Tahoma"/>
            <family val="2"/>
          </rPr>
          <t xml:space="preserve">2 codos de 45 para desvíos de red e inicio de purga + dos codos de 90 para purga + 2 uniones por un tubo
</t>
        </r>
        <r>
          <rPr>
            <sz val="8"/>
            <color indexed="81"/>
            <rFont val="Tahoma"/>
            <family val="2"/>
          </rPr>
          <t xml:space="preserve">
PAVCO actualización precios a febrero de 2022</t>
        </r>
      </text>
    </comment>
    <comment ref="D55" authorId="2" shapeId="0" xr:uid="{00000000-0006-0000-0500-000003000000}">
      <text>
        <r>
          <rPr>
            <b/>
            <sz val="9"/>
            <color indexed="81"/>
            <rFont val="Tahoma"/>
            <family val="2"/>
          </rPr>
          <t xml:space="preserve">Pavco octubre de 2019, más inflación.
</t>
        </r>
      </text>
    </comment>
    <comment ref="D62" authorId="0" shapeId="0" xr:uid="{00000000-0006-0000-0500-000004000000}">
      <text>
        <r>
          <rPr>
            <b/>
            <sz val="8"/>
            <color indexed="81"/>
            <rFont val="Tahoma"/>
            <family val="2"/>
          </rPr>
          <t xml:space="preserve">Pavco actualización de precios a febrero de 2022
</t>
        </r>
      </text>
    </comment>
    <comment ref="D63" authorId="1" shapeId="0" xr:uid="{00000000-0006-0000-0500-000005000000}">
      <text>
        <r>
          <rPr>
            <b/>
            <sz val="8"/>
            <color indexed="81"/>
            <rFont val="Tahoma"/>
            <family val="2"/>
          </rPr>
          <t xml:space="preserve">2 codos de 45 para desvíos de red e inicio de purga + dos codos de 90 para purga + 2 uniones por un tubo
</t>
        </r>
        <r>
          <rPr>
            <sz val="8"/>
            <color indexed="81"/>
            <rFont val="Tahoma"/>
            <family val="2"/>
          </rPr>
          <t xml:space="preserve">
PAVCO actualización precios a febrero de 2022</t>
        </r>
      </text>
    </comment>
    <comment ref="D65" authorId="2" shapeId="0" xr:uid="{00000000-0006-0000-0500-000006000000}">
      <text>
        <r>
          <rPr>
            <b/>
            <sz val="9"/>
            <color indexed="81"/>
            <rFont val="Tahoma"/>
            <family val="2"/>
          </rPr>
          <t xml:space="preserve">Pavco octubre de 2019, más inflación.
</t>
        </r>
      </text>
    </comment>
    <comment ref="D99" authorId="2" shapeId="0" xr:uid="{00000000-0006-0000-0500-000007000000}">
      <text>
        <r>
          <rPr>
            <b/>
            <sz val="9"/>
            <color indexed="81"/>
            <rFont val="Tahoma"/>
            <family val="2"/>
          </rPr>
          <t>Transporte externo se divide por capacidad de carro y de cargue y descargue</t>
        </r>
      </text>
    </comment>
    <comment ref="D111" authorId="2" shapeId="0" xr:uid="{00000000-0006-0000-0500-000008000000}">
      <text>
        <r>
          <rPr>
            <b/>
            <sz val="9"/>
            <color indexed="81"/>
            <rFont val="Tahoma"/>
            <family val="2"/>
          </rPr>
          <t>Transporte externo se divide por capacidad de carro y de cargue y descargue</t>
        </r>
      </text>
    </comment>
    <comment ref="D124" authorId="2" shapeId="0" xr:uid="{00000000-0006-0000-0500-000009000000}">
      <text>
        <r>
          <rPr>
            <b/>
            <sz val="9"/>
            <color indexed="81"/>
            <rFont val="Tahoma"/>
            <family val="2"/>
          </rPr>
          <t>Transporte externo se divide por capacidad de carro y de cargue y descargue</t>
        </r>
      </text>
    </comment>
    <comment ref="D136" authorId="2" shapeId="0" xr:uid="{00000000-0006-0000-0500-00000A000000}">
      <text>
        <r>
          <rPr>
            <b/>
            <sz val="9"/>
            <color indexed="81"/>
            <rFont val="Tahoma"/>
            <family val="2"/>
          </rPr>
          <t>Transporte externo se divide por capacidad de carro y de cargue y descargue</t>
        </r>
      </text>
    </comment>
    <comment ref="D145" authorId="3" shapeId="0" xr:uid="{00000000-0006-0000-0500-00000B000000}">
      <text>
        <r>
          <rPr>
            <sz val="9"/>
            <color indexed="81"/>
            <rFont val="Tahoma"/>
            <family val="2"/>
          </rPr>
          <t>Valor promedio cotizaciones 2022</t>
        </r>
      </text>
    </comment>
    <comment ref="D148" authorId="2" shapeId="0" xr:uid="{00000000-0006-0000-0500-00000C000000}">
      <text>
        <r>
          <rPr>
            <b/>
            <sz val="9"/>
            <color indexed="81"/>
            <rFont val="Tahoma"/>
            <family val="2"/>
          </rPr>
          <t>Pavco actualización precios a febrero 2022</t>
        </r>
      </text>
    </comment>
    <comment ref="D150" authorId="2" shapeId="0" xr:uid="{00000000-0006-0000-0500-00000D000000}">
      <text>
        <r>
          <rPr>
            <b/>
            <sz val="9"/>
            <color indexed="81"/>
            <rFont val="Tahoma"/>
            <family val="2"/>
          </rPr>
          <t>Transporte externo se divide por capacidad de carro y de cargue y descargue</t>
        </r>
      </text>
    </comment>
    <comment ref="D157" authorId="4" shapeId="0" xr:uid="{00000000-0006-0000-0500-00000E000000}">
      <text>
        <r>
          <rPr>
            <b/>
            <sz val="9"/>
            <color indexed="81"/>
            <rFont val="Tahoma"/>
            <family val="2"/>
          </rPr>
          <t>usuario:Valor promedio cotizaciones 2022</t>
        </r>
      </text>
    </comment>
    <comment ref="D161" authorId="2" shapeId="0" xr:uid="{00000000-0006-0000-0500-00000F000000}">
      <text>
        <r>
          <rPr>
            <b/>
            <sz val="9"/>
            <color indexed="81"/>
            <rFont val="Tahoma"/>
            <family val="2"/>
          </rPr>
          <t>Transporte externo se divide por capacidad de carro y de cargue y descargue</t>
        </r>
      </text>
    </comment>
    <comment ref="D169" authorId="4" shapeId="0" xr:uid="{00000000-0006-0000-0500-000010000000}">
      <text>
        <r>
          <rPr>
            <b/>
            <sz val="9"/>
            <color indexed="81"/>
            <rFont val="Tahoma"/>
            <family val="2"/>
          </rPr>
          <t>usuario:</t>
        </r>
        <r>
          <rPr>
            <sz val="9"/>
            <color indexed="81"/>
            <rFont val="Tahoma"/>
            <family val="2"/>
          </rPr>
          <t xml:space="preserve">
Valor promedio cotizaciones 2022</t>
        </r>
      </text>
    </comment>
    <comment ref="D185" authorId="2" shapeId="0" xr:uid="{00000000-0006-0000-0500-000011000000}">
      <text>
        <r>
          <rPr>
            <b/>
            <sz val="9"/>
            <color indexed="81"/>
            <rFont val="Tahoma"/>
            <family val="2"/>
          </rPr>
          <t>Transporte externo se divide por capacidad de carro y de cargue y descargue</t>
        </r>
      </text>
    </comment>
    <comment ref="D209" authorId="2" shapeId="0" xr:uid="{00000000-0006-0000-0500-000012000000}">
      <text>
        <r>
          <rPr>
            <b/>
            <sz val="9"/>
            <color indexed="81"/>
            <rFont val="Tahoma"/>
            <family val="2"/>
          </rPr>
          <t>Transporte externo se divide por capacidad de carro y de cargue y descargue</t>
        </r>
      </text>
    </comment>
    <comment ref="D233" authorId="2" shapeId="0" xr:uid="{00000000-0006-0000-0500-000013000000}">
      <text>
        <r>
          <rPr>
            <b/>
            <sz val="9"/>
            <color indexed="81"/>
            <rFont val="Tahoma"/>
            <family val="2"/>
          </rPr>
          <t>Transporte externo se divide por capacidad de carro y de cargue y descargue</t>
        </r>
      </text>
    </comment>
    <comment ref="D256" authorId="2" shapeId="0" xr:uid="{00000000-0006-0000-0500-000014000000}">
      <text>
        <r>
          <rPr>
            <b/>
            <sz val="9"/>
            <color indexed="81"/>
            <rFont val="Tahoma"/>
            <family val="2"/>
          </rPr>
          <t>Transporte externo se divide por capacidad de carro y de cargue y descargue</t>
        </r>
      </text>
    </comment>
    <comment ref="D280" authorId="2" shapeId="0" xr:uid="{00000000-0006-0000-0500-000015000000}">
      <text>
        <r>
          <rPr>
            <b/>
            <sz val="9"/>
            <color indexed="81"/>
            <rFont val="Tahoma"/>
            <family val="2"/>
          </rPr>
          <t>Transporte externo se divide por capacidad de carro y de cargue y descargue</t>
        </r>
      </text>
    </comment>
    <comment ref="D289" authorId="2" shapeId="0" xr:uid="{00000000-0006-0000-0500-000016000000}">
      <text>
        <r>
          <rPr>
            <b/>
            <sz val="9"/>
            <color indexed="81"/>
            <rFont val="Tahoma"/>
            <family val="2"/>
          </rPr>
          <t>Transporte externo se divide por capacidad de carro y de cargue y descargue</t>
        </r>
      </text>
    </comment>
    <comment ref="D296" authorId="4" shapeId="0" xr:uid="{00000000-0006-0000-0500-000017000000}">
      <text>
        <r>
          <rPr>
            <b/>
            <sz val="9"/>
            <color indexed="81"/>
            <rFont val="Tahoma"/>
            <family val="2"/>
          </rPr>
          <t>usuario:</t>
        </r>
        <r>
          <rPr>
            <sz val="9"/>
            <color indexed="81"/>
            <rFont val="Tahoma"/>
            <family val="2"/>
          </rPr>
          <t xml:space="preserve">
Valor promedio cotizaciones 2022</t>
        </r>
      </text>
    </comment>
    <comment ref="A298" authorId="2" shapeId="0" xr:uid="{00000000-0006-0000-0500-000018000000}">
      <text>
        <r>
          <rPr>
            <b/>
            <sz val="9"/>
            <color indexed="81"/>
            <rFont val="Tahoma"/>
            <family val="2"/>
          </rPr>
          <t>HOME CENTER VARILLA DE MEDIA POR SEIS METROS</t>
        </r>
      </text>
    </comment>
    <comment ref="D298" authorId="2" shapeId="0" xr:uid="{00000000-0006-0000-0500-000019000000}">
      <text>
        <r>
          <rPr>
            <b/>
            <sz val="9"/>
            <color indexed="81"/>
            <rFont val="Tahoma"/>
            <family val="2"/>
          </rPr>
          <t xml:space="preserve">Perfil de acero en home center de media pulgada de arista a 9700 pesos el tubo de seis metros, se considera alto promedio de 2.5 m, cuatro apoyos, y de a un travesaño de 1.5 m entre apoyos, más un cuatro de pintura más soldadura
</t>
        </r>
      </text>
    </comment>
    <comment ref="D299" authorId="2" shapeId="0" xr:uid="{00000000-0006-0000-0500-00001A000000}">
      <text>
        <r>
          <rPr>
            <b/>
            <sz val="9"/>
            <color indexed="81"/>
            <rFont val="Tahoma"/>
            <family val="2"/>
          </rPr>
          <t>Antioquieña de arenas 2021, más IPC</t>
        </r>
      </text>
    </comment>
    <comment ref="D304" authorId="2" shapeId="0" xr:uid="{00000000-0006-0000-0500-00001B000000}">
      <text>
        <r>
          <rPr>
            <b/>
            <sz val="9"/>
            <color indexed="81"/>
            <rFont val="Tahoma"/>
            <family val="2"/>
          </rPr>
          <t>Transporte externo se divide por capacidad de carro y de cargue y descargue</t>
        </r>
      </text>
    </comment>
    <comment ref="D325" authorId="2" shapeId="0" xr:uid="{00000000-0006-0000-0500-00001C000000}">
      <text>
        <r>
          <rPr>
            <b/>
            <sz val="9"/>
            <color indexed="81"/>
            <rFont val="Tahoma"/>
            <family val="2"/>
          </rPr>
          <t xml:space="preserve">Página Web Hidroequipos, febrero 2021, teléfonos (92) 653 0033, 315 471 8248, más IVA +IPC
</t>
        </r>
      </text>
    </comment>
    <comment ref="C348" authorId="5" shapeId="0" xr:uid="{00000000-0006-0000-0500-00001D000000}">
      <text>
        <r>
          <rPr>
            <b/>
            <sz val="9"/>
            <color indexed="81"/>
            <rFont val="Tahoma"/>
            <family val="2"/>
          </rPr>
          <t>Maribel Cardona   Henao:</t>
        </r>
        <r>
          <rPr>
            <sz val="9"/>
            <color indexed="81"/>
            <rFont val="Tahoma"/>
            <family val="2"/>
          </rPr>
          <t xml:space="preserve">
18 rollos de 100m cada uno = 1800
</t>
        </r>
      </text>
    </comment>
    <comment ref="C356" authorId="5" shapeId="0" xr:uid="{00000000-0006-0000-0500-00001E000000}">
      <text>
        <r>
          <rPr>
            <b/>
            <sz val="9"/>
            <color indexed="81"/>
            <rFont val="Tahoma"/>
            <family val="2"/>
          </rPr>
          <t>Maribel Cardona   Henao:</t>
        </r>
        <r>
          <rPr>
            <sz val="9"/>
            <color indexed="81"/>
            <rFont val="Tahoma"/>
            <family val="2"/>
          </rPr>
          <t xml:space="preserve">
18 rollos de 100m cada uno = 1800
</t>
        </r>
      </text>
    </comment>
    <comment ref="C402" authorId="2" shapeId="0" xr:uid="{00000000-0006-0000-0500-00001F000000}">
      <text>
        <r>
          <rPr>
            <b/>
            <sz val="9"/>
            <color indexed="81"/>
            <rFont val="Tahoma"/>
            <family val="2"/>
          </rPr>
          <t xml:space="preserve">Un viaje para las 810 cajas que requiere el municipio
Por lo tanto el rendiemiento del campo es 1/810
</t>
        </r>
      </text>
    </comment>
    <comment ref="C403" authorId="2" shapeId="0" xr:uid="{00000000-0006-0000-0500-000020000000}">
      <text>
        <r>
          <rPr>
            <b/>
            <sz val="9"/>
            <color indexed="81"/>
            <rFont val="Tahoma"/>
            <family val="2"/>
          </rPr>
          <t xml:space="preserve">En un día se instala un tanque séptico con su campo de infiltración, por lo tanto el rendimiento del campo es 1/27
</t>
        </r>
      </text>
    </comment>
    <comment ref="C411" authorId="2" shapeId="0" xr:uid="{00000000-0006-0000-0500-000021000000}">
      <text>
        <r>
          <rPr>
            <b/>
            <sz val="9"/>
            <color indexed="81"/>
            <rFont val="Tahoma"/>
            <family val="2"/>
          </rPr>
          <t xml:space="preserve">En un día se instala un tanque séptico con su campo de infiltración, por lo tanto el rendimiento del campo es 1/27
</t>
        </r>
      </text>
    </comment>
    <comment ref="C412" authorId="2" shapeId="0" xr:uid="{00000000-0006-0000-0500-000022000000}">
      <text>
        <r>
          <rPr>
            <b/>
            <sz val="9"/>
            <color indexed="81"/>
            <rFont val="Tahoma"/>
            <family val="2"/>
          </rPr>
          <t xml:space="preserve">En un día se instala un tanque séptico con su campo de infiltración, por lo tanto el rendimiento del campo es 1/27
</t>
        </r>
      </text>
    </comment>
    <comment ref="C413" authorId="2" shapeId="0" xr:uid="{00000000-0006-0000-0500-000023000000}">
      <text>
        <r>
          <rPr>
            <b/>
            <sz val="9"/>
            <color indexed="81"/>
            <rFont val="Tahoma"/>
            <family val="2"/>
          </rPr>
          <t xml:space="preserve">En un día se instala un tanque séptico con su campo de infiltración, por lo tanto el rendimiento del campo es 1/27
</t>
        </r>
      </text>
    </comment>
    <comment ref="C422" authorId="2" shapeId="0" xr:uid="{00000000-0006-0000-0500-000024000000}">
      <text>
        <r>
          <rPr>
            <b/>
            <sz val="9"/>
            <color indexed="81"/>
            <rFont val="Tahoma"/>
            <family val="2"/>
          </rPr>
          <t xml:space="preserve">En un día se instala un tanque séptico con su campo de infiltración, por lo tanto el rendimiento del campo es 1/27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usuario</author>
    <author>Duvan Rodriguez</author>
    <author>Sandra Patricia Gallo Villa</author>
  </authors>
  <commentList>
    <comment ref="C4" authorId="0" shapeId="0" xr:uid="{00000000-0006-0000-0600-000001000000}">
      <text>
        <r>
          <rPr>
            <b/>
            <sz val="9"/>
            <color indexed="81"/>
            <rFont val="Tahoma"/>
            <family val="2"/>
          </rPr>
          <t>usuario:</t>
        </r>
        <r>
          <rPr>
            <sz val="9"/>
            <color indexed="81"/>
            <rFont val="Tahoma"/>
            <family val="2"/>
          </rPr>
          <t xml:space="preserve">
Se actualizan valores unitarios de acuerdo al catalogo de PAVCO radicado con número 
110-COE2405--19224
</t>
        </r>
      </text>
    </comment>
    <comment ref="C16" authorId="1" shapeId="0" xr:uid="{00000000-0006-0000-0600-000002000000}">
      <text>
        <r>
          <rPr>
            <b/>
            <sz val="9"/>
            <color indexed="81"/>
            <rFont val="Tahoma"/>
            <family val="2"/>
          </rPr>
          <t>Valor por kg HOMECENTER</t>
        </r>
      </text>
    </comment>
    <comment ref="C26" authorId="0" shapeId="0" xr:uid="{00000000-0006-0000-0600-000003000000}">
      <text>
        <r>
          <rPr>
            <b/>
            <sz val="9"/>
            <color indexed="81"/>
            <rFont val="Tahoma"/>
            <family val="2"/>
          </rPr>
          <t>usuario:</t>
        </r>
        <r>
          <rPr>
            <sz val="9"/>
            <color indexed="81"/>
            <rFont val="Tahoma"/>
            <family val="2"/>
          </rPr>
          <t xml:space="preserve">
Según catálogo de Homecenter</t>
        </r>
      </text>
    </comment>
    <comment ref="A45" authorId="2" shapeId="0" xr:uid="{00000000-0006-0000-0600-000004000000}">
      <text>
        <r>
          <rPr>
            <b/>
            <sz val="9"/>
            <color indexed="81"/>
            <rFont val="Tahoma"/>
            <family val="2"/>
          </rPr>
          <t>HOME CENTER VARILLA DE MEDIA POR SEIS METROS</t>
        </r>
      </text>
    </comment>
    <comment ref="C50" authorId="2" shapeId="0" xr:uid="{00000000-0006-0000-0600-000005000000}">
      <text>
        <r>
          <rPr>
            <b/>
            <sz val="9"/>
            <color indexed="81"/>
            <rFont val="Tahoma"/>
            <family val="2"/>
          </rPr>
          <t xml:space="preserve">Página Web Hidroequipos, , teléfonos (92) 653 0033
</t>
        </r>
      </text>
    </comment>
    <comment ref="C60" authorId="1" shapeId="0" xr:uid="{00000000-0006-0000-0600-000006000000}">
      <text>
        <r>
          <rPr>
            <b/>
            <sz val="9"/>
            <color indexed="81"/>
            <rFont val="Tahoma"/>
            <family val="2"/>
          </rPr>
          <t>Duvan Rodriguez:</t>
        </r>
        <r>
          <rPr>
            <sz val="9"/>
            <color indexed="81"/>
            <rFont val="Tahoma"/>
            <family val="2"/>
          </rPr>
          <t xml:space="preserve">
Según las tarifas para servicios de acuedueducto y aguas residuales (mes de facturación mayo 2024, para un estrato 2</t>
        </r>
      </text>
    </comment>
    <comment ref="C61" authorId="1" shapeId="0" xr:uid="{00000000-0006-0000-0600-000007000000}">
      <text>
        <r>
          <rPr>
            <b/>
            <sz val="9"/>
            <color indexed="81"/>
            <rFont val="Tahoma"/>
            <family val="2"/>
          </rPr>
          <t>Duvan Rodriguez:</t>
        </r>
        <r>
          <rPr>
            <sz val="9"/>
            <color indexed="81"/>
            <rFont val="Tahoma"/>
            <family val="2"/>
          </rPr>
          <t xml:space="preserve">
Este valor corresponde a la relación entre el precio unitario de la varilla 3/8x6m y su peso por kg/ml, con el fin de obtener el valor por kg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Diana Patricia Jaramillo Ramirez</author>
  </authors>
  <commentList>
    <comment ref="F9" authorId="0" shapeId="0" xr:uid="{00000000-0006-0000-0A00-000001000000}">
      <text>
        <r>
          <rPr>
            <b/>
            <sz val="9"/>
            <color indexed="81"/>
            <rFont val="Tahoma"/>
            <family val="2"/>
          </rPr>
          <t>Diana Patricia Jaramillo Ramirez:</t>
        </r>
        <r>
          <rPr>
            <sz val="9"/>
            <color indexed="81"/>
            <rFont val="Tahoma"/>
            <family val="2"/>
          </rPr>
          <t xml:space="preserve">
Guerra,Estampilla Prohospital,Proasilo,Procultura, Prodeporte,ICA</t>
        </r>
      </text>
    </comment>
  </commentList>
</comments>
</file>

<file path=xl/sharedStrings.xml><?xml version="1.0" encoding="utf-8"?>
<sst xmlns="http://schemas.openxmlformats.org/spreadsheetml/2006/main" count="2732" uniqueCount="1232">
  <si>
    <t>SISTEMA DE GESTIÓN INTEGRAL - SGI</t>
  </si>
  <si>
    <t>Instructivo</t>
  </si>
  <si>
    <t>COMPONENTE FINANCIERO  EP - PLAN DE EJECUCIÓN FÍSICA Y DE INVERSIONES</t>
  </si>
  <si>
    <t>CÓDIGO: F-PGC-21</t>
  </si>
  <si>
    <t>MODALIDAD DE CONTRATACIÓN:</t>
  </si>
  <si>
    <t>CONVENIO INTERADMINISTRATIVO</t>
  </si>
  <si>
    <t>OBJETO A CONTRATAR:</t>
  </si>
  <si>
    <t>CONTRATISTA/CONVENIANTE:</t>
  </si>
  <si>
    <t>NOMBRE DEL TÉCNICO (A):</t>
  </si>
  <si>
    <t>EL DESIGNADO POR EL ORDENADOR DEL GASTO</t>
  </si>
  <si>
    <t xml:space="preserve">DURACIÓN Y/O PLAZO DEL CONTRATO (MESES):  </t>
  </si>
  <si>
    <t xml:space="preserve">PERIODO DE PROGRAMACIÓN Y SEGUIMIENTO:  </t>
  </si>
  <si>
    <t>mensual</t>
  </si>
  <si>
    <t>PROGRAMACIÓN FÍSICA</t>
  </si>
  <si>
    <t>Descripción</t>
  </si>
  <si>
    <t>% de importancia</t>
  </si>
  <si>
    <t>% de importancia subactividades</t>
  </si>
  <si>
    <t>Unidad de medida</t>
  </si>
  <si>
    <t xml:space="preserve">Cantidad Programada  </t>
  </si>
  <si>
    <t xml:space="preserve">Distribución física </t>
  </si>
  <si>
    <t>Período 1</t>
  </si>
  <si>
    <t>Período 2</t>
  </si>
  <si>
    <t>Período 3</t>
  </si>
  <si>
    <t>Período 4</t>
  </si>
  <si>
    <t>Período 5</t>
  </si>
  <si>
    <t>Período 6</t>
  </si>
  <si>
    <t>Período 9</t>
  </si>
  <si>
    <t>Período 10</t>
  </si>
  <si>
    <t>Período 11</t>
  </si>
  <si>
    <t>Período 12</t>
  </si>
  <si>
    <t>Período 13</t>
  </si>
  <si>
    <t>Período 14</t>
  </si>
  <si>
    <t>Período 15</t>
  </si>
  <si>
    <t>Período 16</t>
  </si>
  <si>
    <t>Período 17</t>
  </si>
  <si>
    <t>Período 18</t>
  </si>
  <si>
    <t>Período 19</t>
  </si>
  <si>
    <t>Período 20</t>
  </si>
  <si>
    <t>Período 21</t>
  </si>
  <si>
    <t>Período 22</t>
  </si>
  <si>
    <t>Período 23</t>
  </si>
  <si>
    <t>Período 24</t>
  </si>
  <si>
    <t>META/
PRODUCTO A OBTENER:</t>
  </si>
  <si>
    <t xml:space="preserve">Apoyar la infraestructura de descontaminación hídrica en comunidades rurales </t>
  </si>
  <si>
    <t>Convenio</t>
  </si>
  <si>
    <t>Alcance 1</t>
  </si>
  <si>
    <t xml:space="preserve">Cofinanciar al Municipio de Santa Bárbara con el aporte de recursos por parte de CORANTIOQUIA, sin IVA excluible, con el fin de garantizar el suministro, transporte e instalación de sistemas sépticos en viviendas rurales dispersas del municipio.
</t>
  </si>
  <si>
    <t>Tanques</t>
  </si>
  <si>
    <t xml:space="preserve">TOTAL </t>
  </si>
  <si>
    <t>ACUMULADO</t>
  </si>
  <si>
    <t>PROGRAMACIÓN FINANCIERA INICIAL</t>
  </si>
  <si>
    <t>Valor del contrato o convenio</t>
  </si>
  <si>
    <t>Valor aportado por Corantioquia</t>
  </si>
  <si>
    <t>Distribución de recursos del valor aportado por Corantioquia</t>
  </si>
  <si>
    <t>Período 8</t>
  </si>
  <si>
    <t>Porcentaje (%)</t>
  </si>
  <si>
    <t>Porcentaje Acumulado (%)</t>
  </si>
  <si>
    <t>Valores ya ejecutados</t>
  </si>
  <si>
    <t>Porcentaje (%) PGAR</t>
  </si>
  <si>
    <t>Porcentaje Acumulado (%) PGAR</t>
  </si>
  <si>
    <t>IVA EXCLUIBLE</t>
  </si>
  <si>
    <t>DESEMBOLSOS</t>
  </si>
  <si>
    <t xml:space="preserve">PROGRAMACIÓN FINANCIERA EN CASO DE ADICIÓN DE RECURSOS O PRÓRROGA </t>
  </si>
  <si>
    <t>Valor total del contrato o convenio (incluida la adición)</t>
  </si>
  <si>
    <t>Valor de la adición aportado por Corantioquia</t>
  </si>
  <si>
    <t>Valor total aportado por Corantioquia  (incluida la adición)</t>
  </si>
  <si>
    <t>Total Valores</t>
  </si>
  <si>
    <t>Valores por ejecutar</t>
  </si>
  <si>
    <t>PORCENTAJE ACUMULADO (%) TOTAL</t>
  </si>
  <si>
    <t>Nota el aporte de Corantioquia incluye el valor del IVA, es importante señalar que los desembolsos seran girados al municipio sin el valor del IVA sometido a trámite de exclusión de IVA</t>
  </si>
  <si>
    <t>GERENTE PROGRAMA</t>
  </si>
  <si>
    <t>COORDINADOR GIT</t>
  </si>
  <si>
    <t>Versión 01</t>
  </si>
  <si>
    <t>Fecha Versión: 17/07/2013</t>
  </si>
  <si>
    <t>1. COSTOS DE PERSONAL</t>
  </si>
  <si>
    <t>ÍTEM</t>
  </si>
  <si>
    <t>CANTIDAD</t>
  </si>
  <si>
    <t>DEDICACION (%)</t>
  </si>
  <si>
    <t>UNIDAD DE MEDIDA</t>
  </si>
  <si>
    <t>CANTIDAD UNIDAD DE MEDIDA</t>
  </si>
  <si>
    <t>VALOR UNITARIO</t>
  </si>
  <si>
    <t>FACTOR PRESTACIONAL</t>
  </si>
  <si>
    <t>VALOR TOTAL</t>
  </si>
  <si>
    <t>Mano de Obra Calificada</t>
  </si>
  <si>
    <t>Subtotal Mano de Obra calificada</t>
  </si>
  <si>
    <t>Mano de Obra No Calificada</t>
  </si>
  <si>
    <t>Subtotal Mano de Obra No Calificada</t>
  </si>
  <si>
    <t>SUBTOTAL PERSONAL (Mano de Obra Calificada + Mano de Obra no Calificada)</t>
  </si>
  <si>
    <t>2. COSTOS DIRECTOS</t>
  </si>
  <si>
    <t>Subtotal instalación:</t>
  </si>
  <si>
    <t>Excavación manual en material común hasta 4 m de profundidad, bajo cualquier grado de humedad</t>
  </si>
  <si>
    <t>m3</t>
  </si>
  <si>
    <t>Excavación en roca a cualquier profundidad</t>
  </si>
  <si>
    <t>Lleno y apisonado de zanjas y apiques con material selecto de la excavación, incluye acarreo interno</t>
  </si>
  <si>
    <t>Regada de material proveniente de la excavación y conformación del terreno</t>
  </si>
  <si>
    <t>EN ESTOS DE AQUÍ PARA ARRIBA NO SEPARA SUMINISTRO DE INSTALACIÓN, PORQUE NO TIENEN SUMINISTRO</t>
  </si>
  <si>
    <t>I. Tubería pvc-s de  ø2" (50 mm). Efluente+purga. incluye accesorios.</t>
  </si>
  <si>
    <t>m</t>
  </si>
  <si>
    <t xml:space="preserve">I. Tubería pvc-s de ø3" (75 mm). Incluye accesorios </t>
  </si>
  <si>
    <t xml:space="preserve">I. Tubería pvc-s de ø2" (50 mm).  Trampa de grasas.Incluye accesorios </t>
  </si>
  <si>
    <t>un</t>
  </si>
  <si>
    <t>I. De sifón S.R. De 135° en pvc-s  ø4" para control de olores</t>
  </si>
  <si>
    <t>I.  Sistema séptico y FAFA prefabricado en P.R.F.V (Poliéster Reforzado Con Fibra De Vidrio) con capacidad para atender una población entre tres a nueve (3 a 9) habitantes, (incluye: accesorios internos, material filtrante para el FAFA que garanticen un área superficial de contacto ≥ 90m2/m3, tubería de PVC-S ø2" con accesorios y malla mosquitera doble. Volumen de 1,500-1,800 litros.</t>
  </si>
  <si>
    <t>Relacionar para cada sistema y trampa, la capacidad en volumenes</t>
  </si>
  <si>
    <t xml:space="preserve">I.Trampa de grasas prefabricada en P.R.F.V (Poliéster Reforzado con Fibra De Vidrio) con capacidad para atender una población de tres a nueve (3 a 9) habitantes.
</t>
  </si>
  <si>
    <t>I. Sistema séptico y FAFA prefabricado en P.R.F.V (Poliéster Reforzado Con Fibra De Vidrio) con capacidad para atender una población de diez a quince (10 a 15) habitantes, (incluye: accesorios internos, material filtrante para el FAFA que garanticen un área superficial de contacto ≥ 90m2/m3, tubería de PVC-S ø2" con accesorios y malla mosquitera doble. Volumen de 2,300-2,500 litros.</t>
  </si>
  <si>
    <t>I. trampa de grasas prefabricado en P.R.F.V (Poliéster Reforzado con Fibra De Vidrio) con capacidad para atender una población de diez a quince (10 a 15) habitantes.</t>
  </si>
  <si>
    <t>I. Sistema séptico y FAFA prefabricado en P.R.F.V (Poliéster Reforzado Con Fibra De Vidrio) con capacidad para atender una población de dieciséis a veinte (16 a 20) habitantes, (incluye: accesorios internos, material filtrante para el FAFA que garanticen un área superficial de contacto ≥ 90m2/m3, tubería de PVC-S ø2" con accesorios y malla mosquitera doble. Volumen de 3,000-3,300 litros.</t>
  </si>
  <si>
    <t>I. trampa de grasas prefabricado en P.R.F.V (Poliéster Reforzado con Fibra De Vidrio) con capacidad para atender una población de dieciséis a veinte (16 a 20) habitantes</t>
  </si>
  <si>
    <t>I. sistema séptico y FAFA prefabricado en P.R.F.V (Poliéster Reforzado Con Fibra De Vidrio) con capacidad para atender una población de veinti uno a treinta (21 a 30) habitantes, (incluye: accesorios internos, material filtrante para el FAFA que garanticen un área superficial de contacto ≥ 90m2/m3, tubería de PVC-S ø2" con accesorios y malla mosquitera doble. Volumen 4,500-5,000 litros.</t>
  </si>
  <si>
    <t xml:space="preserve">I. trampa de grasas prefabricado en P.R.F.V (Poliéster Reforzado con Fibra De Vidrio) con capacidad para atender una población de veintiuno a treinta (21 a 30) habitantes. </t>
  </si>
  <si>
    <t>I. sistema séptico y FAFA prefabricado en P.R.F.V (Poliéster Reforzado Con Fibra De Vidrio) con capacidad para atender una población de treinta y uno a cuarenta (31 a 40) habitantes, (incluye: accesorios internos, material filtrante para el FAFA que garanticen un área superficial de contacto ≥ 90m2/m3, tubería de PVC-S ø2" con accesorios y malla mosquitera doble. Volumen 6,000-6,500 litros.</t>
  </si>
  <si>
    <t>I. trampa de grasas prefabricado en P.R.F.V (Poliéster Reforzado con Fibra De Vidrio) con capacidad para atender una población treinta y uno a cuarenta (31 a 40) habitantes.</t>
  </si>
  <si>
    <t>I.sistema séptico y FAFA prefabricado en P.R.F.V (Poliéster Reforzado Con Fibra De Vidrio) con capacidad para atender una población de cuarenta y uno a cincuenta (41 a 50) habitantes, (incluye: accesorios internos, material filtrante para el FAFA que garanticen un área superficial de contacto ≥ 90m2/m3, tubería de PVC-S ø2" con accesorios y malla mosquitera doble. Volumen de 7,500-8,000 litros.</t>
  </si>
  <si>
    <t>I.  trampa de grasas prefabricado en P.R.F.V (Poliéster Reforzado con Fibra De Vidrio) con capacidad para atender una población de cuarenta y uno a cincuenta (41a 50) habitantes</t>
  </si>
  <si>
    <t>I. sistema séptico y FAFA prefabricado en P.R.F.V (Poliéster Reforzado Con Fibra De Vidrio) con capacidad para atender una población de cincuenta y uno a setenta (51 a 70) habitantes, (incluye: accesorios internos, material filtrante para el FAFA que garanticen un área superficial de contacto ≥ 90m2/m3, tubería de PVC-S ø2" con accesorios y malla mosquitera doble. Volumen de 10,000-12,000 litros.</t>
  </si>
  <si>
    <t>I. trampa de grasas prefabricado en P.R.F.V (Poliéster Reforzado con Fibra De Vidrio) con capacidad para atender una población de cincuenta y uno a setenta (51 a 70) habitantes.</t>
  </si>
  <si>
    <t>I. Suministro sistema séptico y FAFA prefabricado en P.R.F.V (Poliéster Reforzado Con Fibra De Vidrio) con capacidad para atender una población de setenta y uno a noventa (71 a 90) habitantes, (incluye: accesorios internos, material filtrante para el FAFA que garanticen un área superficial de contacto ≥ 90m2/m3, tubería de PVC-S ø2" con accesorios y malla mosquitera doble. Volumen &gt; 12,000 litros.</t>
  </si>
  <si>
    <t>I. trampa de grasas prefabricado en P.R.F.V (Poliéster Reforzado con Fibra De Vidrio) con capacidad para atender una población de setenta y uno a noventa (71 a 90) habitantes.</t>
  </si>
  <si>
    <t>I. Canal de entrada elaborado en P.R.F.V (Poliéster Reforzado con Fibra de Vidrio), incluye reja de cribado, bandeja de escurrimiento, desarenador, caja de derivación y vertedero) Dimensiones  L=2,20m h=0,6 m a=0,4m</t>
  </si>
  <si>
    <t>I. Lecho de secado elaborado en P.R.F.V (Poliéster Reforzado con Fibra de Vidrio) Ø=1,2m h=1,0m. Incluye accesorios y cubiertas</t>
  </si>
  <si>
    <t>I. Válvula de bola de ø2" en PVC extremo liso para purga de lodos. Incluye accesorios</t>
  </si>
  <si>
    <t>I. Válvula de bola de ø3" en pvc extremo liso para purga de lodos. Incluye accesorios</t>
  </si>
  <si>
    <t>I. Caja circular en tubería pvc-novafort de ø12" para válvula de purga. Incluye tapa en fibra de vidrio con manila sintética</t>
  </si>
  <si>
    <t>I. Tubería pe c40 de ø2" con resistencia mínima de 110 psi, para descarga de efluente</t>
  </si>
  <si>
    <t>I. Tubería pe c40 de ø3" con resistencia mínima de 80 psi, para descarga de efluente</t>
  </si>
  <si>
    <t>I. Accesorios  ø2" (50mm) para empalme de tubería pvc-s y polietileno (pe - c40)</t>
  </si>
  <si>
    <t>I. Accesorios  ø3" (75mm) para empalme de tubería pvc-s y polietileno (pe - c40)</t>
  </si>
  <si>
    <t>I. ACCESORIOS  Ø3" (75mm) PARA TUBERÍA DE EXTRACCIÓN DE LODOS EN TANQUES EN TERRERO PLANO</t>
  </si>
  <si>
    <t>I. Geotextil NT referencia 1600</t>
  </si>
  <si>
    <t>m2</t>
  </si>
  <si>
    <t>I. Cajas plásticas de gaseosa recicladas de 0,41mx0,34mx0,25m como medio de soporte</t>
  </si>
  <si>
    <t>I. Tubería perforada para pozo de infiltración, (incluye accesorios) PVC-S Ø2"</t>
  </si>
  <si>
    <t>gal</t>
  </si>
  <si>
    <t>nota; de aquí para arriba presupuesta instalación</t>
  </si>
  <si>
    <t>Subtotal suministros:</t>
  </si>
  <si>
    <t>S.T. Tubería pvc-s de  ø2" (50 mm) incluye accesorios. (ver A.P.U)</t>
  </si>
  <si>
    <t>S.T. Tubería pvc-s de ø3" (75 mm). Incluye accesorios  (ver A.P.U)</t>
  </si>
  <si>
    <t>S.T. Tubería pvc-s de ø2" (50 mm). Trampa de grasa. Incluye accesorios</t>
  </si>
  <si>
    <t>S.T. De sifón s.r. De 135° en pvc-s  ø4" para control de olores  (ver A.P.U)</t>
  </si>
  <si>
    <t>S.T. Sistema séptico y FAFA prefabricado en P.R.F.V (Poliéster Reforzado Con Fibra De Vidrio) con capacidad para atender una población entre 3 a nueve (3 a 9) habitantes, (incluye: accesorios internos, material filtrante para el FAFA que garanticen un área superficial de contacto ≥ 90m2/m3, tubería de PVC-S ø2" con accesorios y malla mosquitera doble. Volumen de 1,500-1,800 litros.</t>
  </si>
  <si>
    <t>S.T  trampa de grasas prefabricada en P.R.F.V (Poliéster Reforzado con Fibra De Vidrio) con capacidad para atender una población de tres a nueve (3 a 9) habitantes</t>
  </si>
  <si>
    <t>S.T. Sistema séptico y FAFA prefabricado en P.R.F.V (Poliéster Reforzado Con Fibra De Vidrio) con capacidad para atender una población de diez a quince (10 a 15) habitantes, (incluye: accesorios internos, material filtrante para el FAFA que garanticen un área superficial de contacto ≥ 90m2/m3, tubería de PVC-S ø2" con accesorios y malla mosquitera doble. Volumen de 2,300-2,500 litros.</t>
  </si>
  <si>
    <t>S.T trampa de grasas prefabricado en P.R.F.V(Poliéster Reforzado con Fibra De Vidrio) con capacidad para atender una población de diez a quince (10 a 15) habitantes</t>
  </si>
  <si>
    <t>S.T. Sistema séptico y FAFA prefabricado en P.R.F.V (Poliéster Reforzado Con Fibra De Vidrio) con capacidad para atender una población de dieciséis a veinte (16 a 20) habitantes, (incluye: accesorios internos, material filtrante para el FAFA que garanticen un área superficial de contacto ≥ 90m2/m3, tubería de PVC-S ø2" con accesorios y malla mosquitera doble. Volumen de 3,000-3,300 litros.</t>
  </si>
  <si>
    <t>S.T  trampa de grasas prefabricado en P.R.F.V (Poliéster Reforzado con Fibra De Vidrio) con capacidad para atender una población de dieciséis a veinte (16 a 20) habitantes</t>
  </si>
  <si>
    <t>S.T. sistema séptico y FAFA prefabricado en P.R.F.V (Poliéster Reforzado Con Fibra De Vidrio) con capacidad para atender una población de veintI uno a treinta (21 a 30) habitantes, (incluye: accesorios internos, material filtrante para el FAFA que garanticen un área superficial de contacto ≥ 90m2/m3, tubería de PVC-S ø2" con accesorios y malla mosquitera doble. Volumen de 4,500-5,000 litros.</t>
  </si>
  <si>
    <t>S.T trampa de grasas prefabricado en P.R.F.V (Poliéster Reforzado con Fibra De Vidrio) con capacidad para atender una población de veintiuno a treinta (21 a 30) habitantes</t>
  </si>
  <si>
    <t>S.T. sistema séptico y FAFA prefabricado en P.R.F.V (Poliéster Reforzado Con Fibra De Vidrio) con capacidad para atender una población de treinta y uno a cuarenta (31 a 40) habitantes, (incluye: accesorios internos, material filtrante para el FAFA que garanticen un área superficial de contacto ≥ 90m2/m3, tubería de PVC-S ø2" con accesorios y malla mosquitera doble. Volumen de 6,000-6,500 litros.</t>
  </si>
  <si>
    <t>S.T trampa de grasas prefabricado en P.R.F.V (Poliéster Reforzado con Fibra De Vidrio) con capacidad para atender una población treinta y uno a cuarenta (31 a 40)
habitantes.</t>
  </si>
  <si>
    <t>S.T. sistema séptico y FAFA prefabricado en P.R.F.V (Poliéster Reforzado Con Fibra De Vidrio) con capacidad para atender una población de cuarenta y uno a cincuenta (40 a 50) habitantes, (incluye: accesorios internos, material filtrante para el FAFA que garanticen un área superficial de contacto ≥ 90m2/m3, tubería de PVC-S ø2" con accesorios y malla mosquitera doble. Volumen de 7,500-8,000 litros.</t>
  </si>
  <si>
    <t>S.T trampa de grasas prefabricado en P.R.F.V (Poliéster Reforzado con Fibra De Vidrio) con capacidad para atender una población de cuarenta y uno a cincuenta (41 a 50) habitantes</t>
  </si>
  <si>
    <t>S.T.sistema séptico y FAFA prefabricado en P.R.F.V (Poliéster Reforzado Con Fibra De Vidrio) con capacidad para atender una población de cincuenta y uno a setenta (51 a 70) habitantes, (incluye: accesorios internos, material filtrante para el FAFA que garanticen un área superficial de contacto ≥ 90m2/m3, tubería de PVC-S ø2" con accesorios y malla mosquitera doble. Volumen de 10,000-12,000 litros.</t>
  </si>
  <si>
    <t>S.T trampa de grasas prefabricado en P.R.F.V (Poliéster Reforzado con Fibra De Vidrio) con capacidad para atender una población de cincuenta y uno a setenta (51 a 70) habitantes.</t>
  </si>
  <si>
    <t>S.T.  sistema séptico y FAFA prefabricado en P.R.F.V (Poliéster Reforzado Con Fibra De Vidrio) con capacidad para atender una población de setenta y uno  a noventa (71 a 90) habitantes, (incluye: accesorios internos, material filtrante para el FAFA que garanticen un área superficial de contacto ≥ 90m2/m3, tubería de PVC-S ø2" con accesorios y malla mosquitera doble. Volumen &gt; 12,000 litros.</t>
  </si>
  <si>
    <t>S.T  trampa de grasas prefabricado en P.R.F.V (Poliéster Reforzado con Fibra De Vidrio) con capacidad para atender una población de setenta y uno a noventa (71 a 90) habitantes</t>
  </si>
  <si>
    <t>S.T. Canal de entrada elaborado en P.R.F.V (Poliéster Reforzado con Fibra de Vidrio), incluye reja de cribado, bandeja de escurrimiento, desarenador, caja de derivación y vertedero) Dimensiones  L=2,20m h=0,6 m a=0,4m</t>
  </si>
  <si>
    <t>S.T. Lecho de secado elaborado en P.R.F.V (Poliéster Reforzado con Fibra de Vidrio) Ø=1,2m h=1,0m. Incluye accesorios y cubiertas</t>
  </si>
  <si>
    <t>S.T. Válvula de bola de ø2" en PVC extremo liso para purga de lodos. Incluye accesorios.  (ver A.P.U)</t>
  </si>
  <si>
    <t>S.T. Válvula de bola de ø3" en pvc extremo liso para purga de lodos. Incluye accesorios  (ver A.P.U)</t>
  </si>
  <si>
    <t>S.T. Caja circular en tubería pvc-novafort de ø12" para válvula de purga. Incluye tapa en fibra de vidrio con manila sintética.  (ver A.P.U)</t>
  </si>
  <si>
    <t>S.T. Tubería pe c40 de ø2" con resistencia mínima de 110 psi, para descarga de efluente.  (ver A.P.U)</t>
  </si>
  <si>
    <t>S.T. Tubería pe c40 de ø3" con resistencia mínima de 80 psi, para descarga de efluente.  (ver A.P.U)</t>
  </si>
  <si>
    <t>S.T. Accesorios  ø2" (50mm) para empalme de tubería pvc-s y polietileno (pe - c40).  (ver A.P.U)</t>
  </si>
  <si>
    <t>S.T. Accesorios  ø3" (75mm) para empalme de tubería pvc-s y polietileno (pe - c40).  (ver A.P.U)</t>
  </si>
  <si>
    <t>S.T.I. ACCESORIOS  Ø3" (75mm) PARA TUBERÍA DE EXTRACCIÓN DE LODOS EN TANQUES EN TERRERO PLANO</t>
  </si>
  <si>
    <t>S.T. Geotextil nt referencia 1600.  (ver A.P.U)</t>
  </si>
  <si>
    <t>S.T. Cajas plásticas de gaseosa recicladas de 0,41mx0,34mx0,25m como medio de soporte</t>
  </si>
  <si>
    <t>S.T.  Tubería perforada para pozo de infiltración, (incluye accesorios) PVC-S Ø3"</t>
  </si>
  <si>
    <t>SUBTOTAL COSTOS DIRECTOS + MANO DE OBRA NO CALIFICADA</t>
  </si>
  <si>
    <t xml:space="preserve"> </t>
  </si>
  <si>
    <t>TOTAL COSTOS DIRECTOS SIN IVA EXCLUIBLE</t>
  </si>
  <si>
    <t>AU 25%</t>
  </si>
  <si>
    <t>SUBTOTAL ( Costos Directos) CON IVA EXCLUIBLE</t>
  </si>
  <si>
    <t>APORTES EN DINERO CORANTIOQUIA</t>
  </si>
  <si>
    <t>APORTES EN DINERO CORANTIOQUIA SIN IVA EXCLUIBLE</t>
  </si>
  <si>
    <t>PERMISO VERTIMIENTOS</t>
  </si>
  <si>
    <t>Corantioquia con IVA</t>
  </si>
  <si>
    <t>Corantioquia sin IVA</t>
  </si>
  <si>
    <t>TOTAL  CON IVA EXCLUIBLE</t>
  </si>
  <si>
    <t>TOTAL  SIN IVA EXCLUIBLE</t>
  </si>
  <si>
    <t>FUENTES DE COFINANCIACION (VALORES)</t>
  </si>
  <si>
    <t>CORANTIOQUIA</t>
  </si>
  <si>
    <t>MUNICIPIO</t>
  </si>
  <si>
    <t>OTRAS ENTIDADES:</t>
  </si>
  <si>
    <t>DINERO</t>
  </si>
  <si>
    <t>ESPECIE</t>
  </si>
  <si>
    <t>SUMINISTRO SISTEMAS SÉPTICOS, TUBERIAS Y ACCESORIOS</t>
  </si>
  <si>
    <t>TRANSPORTE SISTEMAS SÉPTICOS, TUBERÍAS Y ACCESORIOS</t>
  </si>
  <si>
    <t>MANO DE OBRA (INSTALACIÓN)</t>
  </si>
  <si>
    <t>Verificación</t>
  </si>
  <si>
    <t>TANQUES EQUIVALENTES</t>
  </si>
  <si>
    <t>INTERVENTORÍA Y/O SUPERVISIÓN</t>
  </si>
  <si>
    <t>SUBTOTAL APORTES 
FUENTES DE COFINANCIACIÓN</t>
  </si>
  <si>
    <t>AU%25</t>
  </si>
  <si>
    <t>PAGO PERMISO DE VERTIMIENTO</t>
  </si>
  <si>
    <t>TOTAL APORTES 
FUENTES DE COFINANCIACIÓN</t>
  </si>
  <si>
    <t>TOTAL APORTES 
FUENTES DE COFINANCIACIÓN SIN IVA EXCLUIBLE</t>
  </si>
  <si>
    <t>Porcentaje de cofinanciación:</t>
  </si>
  <si>
    <t xml:space="preserve">Describa el aporte : </t>
  </si>
  <si>
    <t>TOTAL</t>
  </si>
  <si>
    <t>Total municipio</t>
  </si>
  <si>
    <t>Menos permiso de vertimiento</t>
  </si>
  <si>
    <t>Total sin PV</t>
  </si>
  <si>
    <t>Valor x</t>
  </si>
  <si>
    <t>Valor X*25%</t>
  </si>
  <si>
    <t>CHEQUEO DE COSTOS UNITARIOS PARA VIABILIDAD DEL PROYECTO</t>
  </si>
  <si>
    <t>No. de tanques proyecto</t>
  </si>
  <si>
    <t>Capacidad tanque</t>
  </si>
  <si>
    <t>Tipo tanque</t>
  </si>
  <si>
    <t>Valor unitario</t>
  </si>
  <si>
    <t>Cantidad tanques proyecto</t>
  </si>
  <si>
    <t>Costo total con valor unitario</t>
  </si>
  <si>
    <t>Peso o                 importancia</t>
  </si>
  <si>
    <t>Costo total               tanques proyecto</t>
  </si>
  <si>
    <t>Valor promedio tanque proyecto</t>
  </si>
  <si>
    <t>Vp &gt; Vu</t>
  </si>
  <si>
    <t>Equivalencia con valor unitario (No. de tanques)</t>
  </si>
  <si>
    <t>Cantidad Tanques proyecto</t>
  </si>
  <si>
    <t>Sistema séptico y FAFA prefabricado en P.R.F.V (Poliéster Reforzado Con Fibra De Vidrio) con capacidad para atender una población de hasta diez (10) habitantes</t>
  </si>
  <si>
    <t>A</t>
  </si>
  <si>
    <t>Sistema séptico y FAFA prefabricado en P.R.F.V (Poliéster Reforzado Con Fibra De Vidrio) con capacidad para atender una población de diez a quince (10 a 15) habitantes</t>
  </si>
  <si>
    <t>B</t>
  </si>
  <si>
    <t>Sistema séptico y FAFA prefabricado en P.R.F.V (Poliéster Reforzado Con Fibra De Vidrio) con capacidad para atender una población de quince a veinte (15 a 20) habitantes</t>
  </si>
  <si>
    <t>C</t>
  </si>
  <si>
    <t>sistema séptico y FAFA prefabricado en P.R.F.V (Poliéster Reforzado Con Fibra De Vidrio) con capacidad para atender una población de veinte a treinta (20 a 30) habitantes</t>
  </si>
  <si>
    <t>D</t>
  </si>
  <si>
    <t>sistema séptico y FAFA prefabricado en P.R.F.V (Poliéster Reforzado Con Fibra De Vidrio) con capacidad para atender una población de treinta a cuarenta (30 a 40) habitantes</t>
  </si>
  <si>
    <t>E</t>
  </si>
  <si>
    <t>S.T. sistema séptico y FAFA prefabricado en P.R.F.V (Poliéster Reforzado Con Fibra De Vidrio) con capacidad para atender una población de cuarenta a cincuenta (40 a 50) habitantes</t>
  </si>
  <si>
    <t>F</t>
  </si>
  <si>
    <t>sistema séptico y FAFA prefabricado en P.R.F.V (Poliéster Reforzado Con Fibra De Vidrio) con capacidad para atender una población de cincuenta a setenta (50 a 70) habitantes</t>
  </si>
  <si>
    <t>G</t>
  </si>
  <si>
    <t>sistema séptico y FAFA prefabricado en P.R.F.V (Poliéster Reforzado Con Fibra De Vidrio) con capacidad para atender una población de setenta a noventa (70 a 90) habitantes</t>
  </si>
  <si>
    <t>H</t>
  </si>
  <si>
    <t>Total</t>
  </si>
  <si>
    <t>DIFERENCIA</t>
  </si>
  <si>
    <t>ESQUEMA DE COFINANCIÓN ESTABLECIDO</t>
  </si>
  <si>
    <t>No. max tanques</t>
  </si>
  <si>
    <t>Valor máximo proyecto</t>
  </si>
  <si>
    <t>Cofinanciación Corantioquia (80%)</t>
  </si>
  <si>
    <t>Aporte municipio (20%)</t>
  </si>
  <si>
    <t>COFINANCIÓN BASADA EN PRESUPUESTO DEL MUNICIPIO</t>
  </si>
  <si>
    <t>No. aprox. tanques</t>
  </si>
  <si>
    <t>CANTIDADES DE OBRA Y PRESUPUESTO DESAGREGADO POR COMPONENTES</t>
  </si>
  <si>
    <t>(AUNAR ESFUERZOS AUNAR ESFUERZOS PARA CONTRIBUÍR AL SANEAMIENTO HÍDRICO RURAL EN MUNICIPIOS DE LA JURISDICCIÓN DE CORANTIQOUIA  2019)</t>
  </si>
  <si>
    <t xml:space="preserve">(CANTIDAD TOTAL  TANQUES DISTRIBUIDOS ASI:  </t>
  </si>
  <si>
    <t>OCULTAR</t>
  </si>
  <si>
    <t>ITEM</t>
  </si>
  <si>
    <t>ESPECIF. TÉCNICA</t>
  </si>
  <si>
    <t>DESCRIPCIÓN</t>
  </si>
  <si>
    <t>UNIDAD</t>
  </si>
  <si>
    <t>CANTIDADES</t>
  </si>
  <si>
    <t>CANTIDAD TOTAL</t>
  </si>
  <si>
    <t>COSTO DIRECTO 
(CON EL DESCUENTO POR LA EXCLUSIÓN DEL IVA)</t>
  </si>
  <si>
    <t>COSTO DIRECTO 
(CON IVA INCLUÍDO)</t>
  </si>
  <si>
    <t>COSTO TOTAL (CON EL DESCUENTO POR LA EXCLUSIÓN DEL IVA)</t>
  </si>
  <si>
    <t>COSTO TOTAL (CON IVA INCLUÍDO)</t>
  </si>
  <si>
    <t>COMPONENTE</t>
  </si>
  <si>
    <t>T.S. 1 VIV.</t>
  </si>
  <si>
    <t xml:space="preserve">No. </t>
  </si>
  <si>
    <t>No.</t>
  </si>
  <si>
    <t>SUMINISTRO</t>
  </si>
  <si>
    <t>ACCESORIOS</t>
  </si>
  <si>
    <t>TRANSPORTE</t>
  </si>
  <si>
    <t>INSTALACIÓN</t>
  </si>
  <si>
    <t>3≤ 9 PERS.</t>
  </si>
  <si>
    <t>10&lt;P≤15</t>
  </si>
  <si>
    <t>16&lt;P≤20</t>
  </si>
  <si>
    <t>21&lt;P≤30</t>
  </si>
  <si>
    <t>31&lt;P≤40</t>
  </si>
  <si>
    <t>41&lt;P≤50</t>
  </si>
  <si>
    <t>51&lt;P≤70</t>
  </si>
  <si>
    <t>71&lt;P≤90</t>
  </si>
  <si>
    <t>COSTO DIRECTO 
(CON  IVA)</t>
  </si>
  <si>
    <t>COSTO TOTAL</t>
  </si>
  <si>
    <t xml:space="preserve">COSTO TOTAL </t>
  </si>
  <si>
    <t>Fuente</t>
  </si>
  <si>
    <t>IVA</t>
  </si>
  <si>
    <t>Pozo absorc.</t>
  </si>
  <si>
    <t>Trampas de Grasas</t>
  </si>
  <si>
    <t>NEGC 201</t>
  </si>
  <si>
    <t>NEGC 107.2</t>
  </si>
  <si>
    <t>NEGC 204</t>
  </si>
  <si>
    <t>NEGC 207</t>
  </si>
  <si>
    <t>NTC 1500</t>
  </si>
  <si>
    <t>S.T.I. Tubería pvc-s de  ø2" (50 mm) incluye accesorios.</t>
  </si>
  <si>
    <t xml:space="preserve">S.T.I. Tubería pvc-s de ø3" (75 mm). Incluye accesorios </t>
  </si>
  <si>
    <t>S.T.I. Tubería pvc-s de ø2" (50 mm). Trampa de grasa. Incluye accesorios</t>
  </si>
  <si>
    <t>Particular</t>
  </si>
  <si>
    <t>S.T.I. De sifón S.R. De 135° en pvc-s  ø4" para control de olores</t>
  </si>
  <si>
    <t xml:space="preserve">trampa de grasas prefabricada en P.R.F.V (Poliéster Reforzado con Fibra De Vidrio) con capacidad para atender una población de tres a nueve (3 a 9) habitantes. </t>
  </si>
  <si>
    <t>trampa de grasas prefabricado en P.R.F.V (Poliéster Reforzado con Fibra De Vidrio) con capacidad para atender una población de diez a quince (10 a 15) habitantes.</t>
  </si>
  <si>
    <t>trampa de grasas prefabricado en P.R.F.V (Poliéster Reforzado con Fibra De Vidrio) con capacidad para atender una población de dieciséis a veinte (16 a 20) habitantes.</t>
  </si>
  <si>
    <t>trampa de grasas prefabricado en P.R.F.V (Poliéster Reforzado con Fibra De Vidrio) con capacidad para atender una población de veinti uno a treinta (21 a 30) habitantes.</t>
  </si>
  <si>
    <t>trampa de grasas prefabricado en P.R.F.V (Poliéster Reforzado con Fibra De Vidrio) con capacidad para atender una población de treinta y uno a cuarenta (31 a 40) habitantes.</t>
  </si>
  <si>
    <t>trampa de grasas prefabricado en P.R.F.V (Poliéster Reforzado con Fibra De Vidrio) con capacidad para atender una población de cuarenta y uno a cincuenta (41 a 50) habitantes.</t>
  </si>
  <si>
    <t>trampa de grasas prefabricado en P.R.F.V (Poliéster Reforzado con Fibra De Vidrio) con capacidad para atender una población de cincuenta y uno a setenta (51 a 70) habitantes.</t>
  </si>
  <si>
    <t>trampa de grasas prefabricado en P.R.F.V (Poliéster Reforzado con Fibra De Vidrio) con capacidad para atender una población de setenta y uno a noventa (71 a 90) habitantes.</t>
  </si>
  <si>
    <t>S.T.I. Suministro de canal de entrada elaborado en P.R.F.V (Poliéster Reforzado con Fibra de Vidrio), incluye reja de cribado, bandeja de escurrimiento, desarenador, caja de derivación y vertedero) Dimensiones  L=2,20m h=0,6 m a=0,4m</t>
  </si>
  <si>
    <t>S.T.I. Suministro de lecho de secado elaborado en P.R.F.V (Poliéster Reforzado con Fibra de Vidrio) Ø=1,2m h=1,0m. Incluye accesorios y cubiertas</t>
  </si>
  <si>
    <t>S.T.I. Válvula de bola de ø2" PVC para purga de lodos. Incluye accesorios</t>
  </si>
  <si>
    <t>S.T.I. Válvula de bola de ø3" en PVC  extremo liso para purga de lodos. Incluye accesorios</t>
  </si>
  <si>
    <t>S.T.I. Caja circular en tubería pvc-novafort de ø12" para válvula de purga. Incluye tapa en fibra de vidrio con manila sintética</t>
  </si>
  <si>
    <t>S.T.I. Tubería PE C40 de ø2" con resistencia mínima de 110 psi, para descarga de efluente</t>
  </si>
  <si>
    <t xml:space="preserve">S.T.I. Tubería pe c40 de ø3" con resistencia mínima de 80 psi, para descarga de efluente </t>
  </si>
  <si>
    <t>S.T.I. Accesorios  ø2" (50mm) para empalme de tubería pvc-s y polietileno (pe - c40)</t>
  </si>
  <si>
    <t>S.T.I. Accesorios  ø3" (75mm) para empalme de tubería pvc-s y polietileno (pe - c40)</t>
  </si>
  <si>
    <t>S.T.I. ACCESORIOS  Ø3" (75mm) PARA TUBERÍA DE EXTRACCIÓN DE LODOS EN TANQUES EN TERRERO PLANO OJO SE HACE MANUAL</t>
  </si>
  <si>
    <t>Pozo de absorción:</t>
  </si>
  <si>
    <t>Excavación manual en material común hasta  4 m de profundidad, bajo cualquier grado de humedad</t>
  </si>
  <si>
    <r>
      <t>m</t>
    </r>
    <r>
      <rPr>
        <vertAlign val="superscript"/>
        <sz val="11"/>
        <color indexed="8"/>
        <rFont val="Arial"/>
        <family val="2"/>
      </rPr>
      <t>3</t>
    </r>
  </si>
  <si>
    <t>NTC 1600</t>
  </si>
  <si>
    <t>S.T.I. Geotextil NT referencia 1600</t>
  </si>
  <si>
    <r>
      <t>m</t>
    </r>
    <r>
      <rPr>
        <vertAlign val="superscript"/>
        <sz val="11"/>
        <color indexed="8"/>
        <rFont val="Arial"/>
        <family val="2"/>
      </rPr>
      <t>2</t>
    </r>
  </si>
  <si>
    <t>S.T.I. Cajas plásticas de gaseosa recicladas de 0,41mx0,34mx0,25m como medio de soporte</t>
  </si>
  <si>
    <t>S.T.I. Tubería perforada para pozo de infiltración, (incluye accesorios) PVC-S Ø2"</t>
  </si>
  <si>
    <t>COSTO DIRECTO TOTAL</t>
  </si>
  <si>
    <t>COSTO DIRECTO</t>
  </si>
  <si>
    <t>AU(25%)</t>
  </si>
  <si>
    <t>INTERVENTORIA</t>
  </si>
  <si>
    <t>COSTO TOTAL INCLUIDO IVA</t>
  </si>
  <si>
    <t>COFINANCIA</t>
  </si>
  <si>
    <t xml:space="preserve">Valor proyecto </t>
  </si>
  <si>
    <t>Tope</t>
  </si>
  <si>
    <t>Menores a 25 SMMV</t>
  </si>
  <si>
    <t>Igual o superior a 25 SMMV e inferior a 35 SMMV</t>
  </si>
  <si>
    <t>MPIO</t>
  </si>
  <si>
    <t>Igual o superior a 35 SMMV e inferior a 50 SMMV</t>
  </si>
  <si>
    <t>Igual o superior a 50 SMMV e inferior a 70 SMMV</t>
  </si>
  <si>
    <t>Igual o superior a 70 SMMV e inferior a 100 SMMV</t>
  </si>
  <si>
    <t>Igual o superior a 100 SMMV e inferior a 200 SMMV</t>
  </si>
  <si>
    <t>Igual o superior a 200 SMMV e inferior a 300 SMMV</t>
  </si>
  <si>
    <t>Igual o superior a 300 SMMV e inferior a 400 SMMV</t>
  </si>
  <si>
    <t>Suministros sistema, tuberías y accesorios</t>
  </si>
  <si>
    <t>Igual o superior a 400 SMMV e inferior a 500 SMMV</t>
  </si>
  <si>
    <t>Transporte sistema, tuberías y accesorios</t>
  </si>
  <si>
    <t>Igual o superior a 500 SMMV e inferior a 700 SMMV</t>
  </si>
  <si>
    <t>Mano de obra</t>
  </si>
  <si>
    <t>Igual o superior a 700 SMMV e inferior a 900 SMMV</t>
  </si>
  <si>
    <t>=PRESUPUESTO DE OBRA FÍSICA</t>
  </si>
  <si>
    <t>Igual o superior a 900 SMMV e inferior a 1500 SMMV</t>
  </si>
  <si>
    <t>Permiso de vertimiento</t>
  </si>
  <si>
    <t>Igual o superior a 1500 SMMV e inferior a 2115 SMMV</t>
  </si>
  <si>
    <t>LISTADO DE USUARIOS BENEFICIARIOS SEGÚN LA INFORMACIÓN REPORTADA EN LAS "FICHAS DE ASIGNACIÓN Y UBICACIÓN DE TANQUES SÉPTICOS" - (AUNAR ESFUERZOS AUNAR ESFUERZOS PARA CONTRIBUÍR AL SANEAMIENTO HÍDRICO RURAL EN MUNICIPIOS DE LA JURISDICCIÓN DE CORANTIQOUIA  2018)</t>
  </si>
  <si>
    <t>FICHA No.</t>
  </si>
  <si>
    <t>Usuario</t>
  </si>
  <si>
    <t>Municipio</t>
  </si>
  <si>
    <t>Vereda / Resguardo Indígena</t>
  </si>
  <si>
    <t>No. de viviendas beneficiadas</t>
  </si>
  <si>
    <t>No personas atendidas</t>
  </si>
  <si>
    <t>Fuente Hídrica mas cercana</t>
  </si>
  <si>
    <t>Vivienda? SI/NO</t>
  </si>
  <si>
    <t>Distancia Horizontal 
Vivienda - T. Séptico+trampa de grasa (m)</t>
  </si>
  <si>
    <t>Distancia Horizontal 
Trampa de grasa al postratamiento  (m)</t>
  </si>
  <si>
    <t>Distancia Horizontal 
T.Séptico-Sitio descarga (m)</t>
  </si>
  <si>
    <t>Disposición Efluente en Pozo de Absorción</t>
  </si>
  <si>
    <t xml:space="preserve">SITIIO DE DESCARGA </t>
  </si>
  <si>
    <t>Distancia Municipio - Vereda (Km)</t>
  </si>
  <si>
    <t>CAPACIDAD DE LOS SISTEMAS SEGÚN POBLACIÓN (P)</t>
  </si>
  <si>
    <t>Distancia Horizontal Vivienda al tanque séptico+trampa de grasa
Vivienda - T. Séptico (m)</t>
  </si>
  <si>
    <t>Distancia HorizontaTrampa de grasa al postratamiento (m)</t>
  </si>
  <si>
    <t>Distancia Horizontal 
T. Séptico - Fuente (m)</t>
  </si>
  <si>
    <t>Distancia Horizontal 
T. Séptico - Pozo de Absorcion (m)</t>
  </si>
  <si>
    <t>Futuro Sitio de descarga</t>
  </si>
  <si>
    <t>DISPOSICIÓN EFLUENTE</t>
  </si>
  <si>
    <t>CAPACIDAD TRAMPA DE GRASAS PARA VIVIENDAS</t>
  </si>
  <si>
    <t>CAPACIDAD TRAMPA DE GRASAS PARA MULTIUSOS</t>
  </si>
  <si>
    <t>1500-1800</t>
  </si>
  <si>
    <t>2300-2500</t>
  </si>
  <si>
    <t>3000-3300</t>
  </si>
  <si>
    <t>4500-5000</t>
  </si>
  <si>
    <t>6000-6500</t>
  </si>
  <si>
    <t>7500-8000</t>
  </si>
  <si>
    <t>10000-12000</t>
  </si>
  <si>
    <t>&gt;12500</t>
  </si>
  <si>
    <t>F = Fuente
P = Pozo</t>
  </si>
  <si>
    <t>SI</t>
  </si>
  <si>
    <t>LONGITUD TUBERIA (m)</t>
  </si>
  <si>
    <t>f</t>
  </si>
  <si>
    <t>Promedio</t>
  </si>
  <si>
    <t>p</t>
  </si>
  <si>
    <t>APORTES PERCAPITA PARA AGUAS RESIDUALES DOMESTICAS</t>
  </si>
  <si>
    <t>SEGUN EL COBRO DE TASAS RETRIBUTIVAS (EEPPM y CORANTIOQUIA)</t>
  </si>
  <si>
    <t>P</t>
  </si>
  <si>
    <t>PARAMETRO</t>
  </si>
  <si>
    <t>INTERVALO</t>
  </si>
  <si>
    <t>VALOR SUGERIDO</t>
  </si>
  <si>
    <t>VALOR</t>
  </si>
  <si>
    <t>DBO (20C) (gr/hab-dia)</t>
  </si>
  <si>
    <t>25-80</t>
  </si>
  <si>
    <t>DBO (20C) (kg/hab-dia)</t>
  </si>
  <si>
    <t>No. Total de tanques</t>
  </si>
  <si>
    <t>SST (gr/hab-dia)</t>
  </si>
  <si>
    <t>30-100</t>
  </si>
  <si>
    <t>SST (kg/hab-dia)</t>
  </si>
  <si>
    <t>No. total viv. Beneficiadas</t>
  </si>
  <si>
    <t>Población Total beneficiada</t>
  </si>
  <si>
    <t>TOTAL POBLACION</t>
  </si>
  <si>
    <t>CARGA CONTAM. DBO (ton/dia)</t>
  </si>
  <si>
    <t>CARGA CONTAM. DBO (kg/dia)</t>
  </si>
  <si>
    <t>CARGA CONTAM. SST (ton/dia)</t>
  </si>
  <si>
    <t>CARGA CONTAM. SST (Kg/dia)</t>
  </si>
  <si>
    <t>TOTAL CARGA CONTAM.</t>
  </si>
  <si>
    <t>CARGA CONTAM. DBO (ton/año)</t>
  </si>
  <si>
    <t>CARGA CONTAM. SST (ton/año)</t>
  </si>
  <si>
    <t>Cantidad</t>
  </si>
  <si>
    <t xml:space="preserve">Cuando es cantidad se obtiene el valor total sin IVA como producto (multiplicación) de las columnas CAN/REN y valor unitario INCLUYE IVA </t>
  </si>
  <si>
    <t>Rendimiento</t>
  </si>
  <si>
    <t xml:space="preserve">Cuando es rendimiento se obtiene el valor total sin IVA como la relación (división) de las columnas CAN/REN y valor unitario INCLUYE IVA </t>
  </si>
  <si>
    <t>DESCRIPCION</t>
  </si>
  <si>
    <t>UN</t>
  </si>
  <si>
    <t>CAN/REN</t>
  </si>
  <si>
    <t>VALOR UNITARIO INCLUYE IVA</t>
  </si>
  <si>
    <t>IVA PARA TRÁMITE DE EXCLUSIÓN</t>
  </si>
  <si>
    <t>V/TOTAL SIN IVA</t>
  </si>
  <si>
    <t>V/TOTAL CON IVA</t>
  </si>
  <si>
    <t>Dos ayudantes (día)</t>
  </si>
  <si>
    <t>día (Rend)</t>
  </si>
  <si>
    <t>Herramienta menor (0.05 MO)</t>
  </si>
  <si>
    <t>gl</t>
  </si>
  <si>
    <r>
      <t>COSTO DIRECTO (m</t>
    </r>
    <r>
      <rPr>
        <b/>
        <vertAlign val="superscript"/>
        <sz val="10"/>
        <rFont val="Arial"/>
        <family val="2"/>
      </rPr>
      <t>3</t>
    </r>
    <r>
      <rPr>
        <b/>
        <sz val="10"/>
        <rFont val="Arial"/>
        <family val="2"/>
      </rPr>
      <t>)</t>
    </r>
  </si>
  <si>
    <r>
      <t>EXCAVACION EN ROCA A CUALQUIER PROFUNDIDAD (m</t>
    </r>
    <r>
      <rPr>
        <b/>
        <vertAlign val="superscript"/>
        <sz val="10"/>
        <rFont val="Arial"/>
        <family val="2"/>
      </rPr>
      <t>3</t>
    </r>
    <r>
      <rPr>
        <b/>
        <sz val="10"/>
        <rFont val="Arial"/>
        <family val="2"/>
      </rPr>
      <t>)</t>
    </r>
  </si>
  <si>
    <t>Material expansivo</t>
  </si>
  <si>
    <t>kg</t>
  </si>
  <si>
    <t>Minero</t>
  </si>
  <si>
    <t>día</t>
  </si>
  <si>
    <t xml:space="preserve">Ayudante </t>
  </si>
  <si>
    <r>
      <t>LLENO Y APISONADO DE ZANJAS Y APIQUES CON MATERIAL SELECTO DE LA EXCAVACIÓN, INCLUYE ACARREO INTERNO (m</t>
    </r>
    <r>
      <rPr>
        <b/>
        <vertAlign val="superscript"/>
        <sz val="10"/>
        <rFont val="Arial"/>
        <family val="2"/>
      </rPr>
      <t>3</t>
    </r>
    <r>
      <rPr>
        <b/>
        <sz val="10"/>
        <rFont val="Arial"/>
        <family val="2"/>
      </rPr>
      <t>)</t>
    </r>
  </si>
  <si>
    <t xml:space="preserve">Mano de obra (dos ayudantes) </t>
  </si>
  <si>
    <r>
      <t>REGADA DE MATERIAL PROVENIENTE DE LA EXCAVACIÓN Y CONFORMACIÓN DEL TERRENO (m</t>
    </r>
    <r>
      <rPr>
        <b/>
        <vertAlign val="superscript"/>
        <sz val="10"/>
        <rFont val="Arial"/>
        <family val="2"/>
      </rPr>
      <t>3</t>
    </r>
    <r>
      <rPr>
        <b/>
        <sz val="10"/>
        <rFont val="Arial"/>
        <family val="2"/>
      </rPr>
      <t>)</t>
    </r>
  </si>
  <si>
    <t>Mano de obra  (1 Ayudante)</t>
  </si>
  <si>
    <t>S.T.I. TUBERÍA PVC-S DE  Ø2" (50 mm) INCLUYE ACCESORIOS (m).  conexiones externas de diferentes derivaciones de redes provenientes de vivenda</t>
  </si>
  <si>
    <t>Suministro de tuberia PVC-S Ø2"</t>
  </si>
  <si>
    <t>Accesorios</t>
  </si>
  <si>
    <t>Transporte</t>
  </si>
  <si>
    <t>viaje</t>
  </si>
  <si>
    <t>Soldadura y limpiador</t>
  </si>
  <si>
    <t>1/128 Galón</t>
  </si>
  <si>
    <t>Mano de obra (Oficial + 1 ayudante)/50m-día</t>
  </si>
  <si>
    <t>ml</t>
  </si>
  <si>
    <t>COSTO DIRECTO  (m)</t>
  </si>
  <si>
    <t>Purga lodos: 2 codo 45º en un tramo de 3 m. de longitud</t>
  </si>
  <si>
    <t>S.T.I. TUBERÍA PVC-S DE Ø3" (75 mm) INCLUYE ACCESORIOS (m). Y la purga VER ESQUEMA,conexiones externas de diferentes derivaciones</t>
  </si>
  <si>
    <t>Suministro de tuberia PVC-S Ø3"</t>
  </si>
  <si>
    <t>global</t>
  </si>
  <si>
    <t>Mano de obra (Oficial + ayudante)/40m-día</t>
  </si>
  <si>
    <t>COSTO DIRECTO (m)</t>
  </si>
  <si>
    <t xml:space="preserve">S.T.I. Tubería pvc-s de ø2" (50 mm). Trampa de grasa. Incluye accesorios </t>
  </si>
  <si>
    <t xml:space="preserve">S.T.I. DE SIFÓN S.R. DE 135° EN PVC-S  Ø3" PARA CONTROL DE OLORES.  (un) </t>
  </si>
  <si>
    <t>Suministro de Sifón S.R. de 135° en PVC-S Ø3"</t>
  </si>
  <si>
    <t>Suministro de Codo 45° de PVC-S Ø3" CXE</t>
  </si>
  <si>
    <t>Suministro de Codo 90° de PVC-S Ø3" CXE</t>
  </si>
  <si>
    <t>Mano de obra (Oficial)</t>
  </si>
  <si>
    <t>COSTO DIRECTO (un)</t>
  </si>
  <si>
    <t xml:space="preserve">S.T.I. DE SIFÓN S.R. DE 135° EN PVC-S  Ø4" PARA CONTROL DE OLORES.  (un) </t>
  </si>
  <si>
    <t>Suministro de Sifón S.R. de 135° en PVC-S Ø4"</t>
  </si>
  <si>
    <t>Suministro de Codo 45° de PVC-S Ø4" CXE</t>
  </si>
  <si>
    <t>Suministro de Codo 90° de PVC-S Ø4" CxE</t>
  </si>
  <si>
    <t>S.T.I. sistema séptico y FAFA prefabricado en P.R.F.V (Poliéster Reforzado Con Fibra De Vidrio) con capacidad para atender una población entre tres a nueve (3 a 9) habitantes(INCLUYE: ACCESORIOS INTERNOS, MATERIAL FILTRANTE PARA EL FAFA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1,500-1,800 litros.</t>
  </si>
  <si>
    <t>sistema séptico y FAFA prefabricado en P.R.F.V (Poliéster Reforzado Con Fibra De Vidrio) con capacidad para atender una población entre tres a nueve (3 a 9) habitantes, (incluye: accesorios internos, material filtrante para el FAFA que garanticen un área superficial de contacto ≥ 90m2/m3, tubería de PVC-S ø2" con accesorios y malla mosquitera doble. Volumen de 1,500-1,800 litros.</t>
  </si>
  <si>
    <t>Suministro de Codo 90° de PVC-S Ø2"</t>
  </si>
  <si>
    <t>Buje de 4x3</t>
  </si>
  <si>
    <t>Malla mosquitera doble</t>
  </si>
  <si>
    <t>Transporte externo e interno</t>
  </si>
  <si>
    <t>COSTO SUMINISTRO Y TRANSPORTE (un)</t>
  </si>
  <si>
    <t>Mano de obra (Oficial + 2 ayudantes)</t>
  </si>
  <si>
    <t>dia</t>
  </si>
  <si>
    <t>COSTO INSTALACIÓN</t>
  </si>
  <si>
    <t>S.T.I. Trampa de grasas prefabricada en P.R.F.V (Poliéster Reforzado con Fibra De Vidrio) con capacidad para atender una población de tres a nueve (3 a 9) habitantes.</t>
  </si>
  <si>
    <t>Trampa de grasas prefabricada en P.R.F.V (Poliéster Reforzado con Fibra De Vidrio) con capacidad para atender una población de tres a nueve (3 a 9) habitantes.</t>
  </si>
  <si>
    <t>Suministro de Codo 90° de PVC-S Ø3"</t>
  </si>
  <si>
    <t>Unión para tubería sanitaria Ø3"</t>
  </si>
  <si>
    <t>S.T.I. sistema séptico y FAFA prefabricado en P.R.F.V (Poliéster Reforzado Con Fibra De Vidrio) con capacidad para  atender una población de diez a quince (10 a 15) habitantes (INCLUYE: ACCESORIOS INTERNOS, MATERIAL FILTRANTE PARA EL FAFA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2,300-2,500 litros.</t>
  </si>
  <si>
    <t>sistema séptico y FAFA prefabricado en P.R.F.V (Poliéster Reforzado Con Fibra De Vidrio) con capacidad para atender una población de diez a quince (10 a 15) habitantes, (incluye: accesorios internos, material filtrante para el FAFA que garanticen un área superficial de contacto ≥ 90m2/m3, tubería de PVC-S ø2" con accesorios y malla mosquitera doble. Volumen de 2,300-2,500 litros.</t>
  </si>
  <si>
    <t>S.T.I. Trampa de grasas prefabricada en P.R.F.V (Poliéster Reforzado con Fibra De Vidrio) con capacidad para atender una población de diez a quince (10 a 15) habitantes.</t>
  </si>
  <si>
    <t>Trampa de grasas prefabricada en P.R.F.V (Poliéster Reforzado con Fibra De Vidrio) con capacidad para atender una población de diez a quince (10 a 15) habitantes.</t>
  </si>
  <si>
    <t>S.T.I. sistema séptico y FAFA prefabricado en P.R.F.V (Poliéster Reforzado Con Fibra De Vidrio) con capacidad para atender una población de dieciséis a veinte (16 a 20) habitantes (INCLUYE: ACCESORIOS INTERNOS, MATERIAL FILTRANTE PARA EL FAFA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3,000-3,300 litros.</t>
  </si>
  <si>
    <t>sistema séptico y FAFA prefabricado en P.R.F.V (Poliéster Reforzado Con Fibra De Vidrio) con capacidad para atender una población de dieciséis a veinte (16 a 20) habitantes, (incluye: accesorios internos, material filtrante para el FAFA que garanticen un área superficial de contacto ≥ 90m2/m3, tubería de PVC-S ø2" con accesorios y malla mosquitera doble. Volumen de 3,000-3,300 litros.</t>
  </si>
  <si>
    <t>S.T.I. Trampa de grasas prefabricada en P.R.F.V (Poliéster Reforzado con Fibra De Vidrio) con capacidad para atender una población de dieciséis a veinte (16 a 20) habitantes.</t>
  </si>
  <si>
    <t>Trampa de grasas prefabricada en P.R.F.V (Poliéster Reforzado con Fibra De Vidrio) con capacidad para atender una población de dieciséis a veinte (16 a 20) habitantes.</t>
  </si>
  <si>
    <t>S.T.I. sistema séptico y FAFA prefabricado en P.R.F.V (Poliéster Reforzado Con Fibra De Vidrio) con capacidad para atender una población de veinti uno a treinta (21 a 30) habitantes (INCLUYE: ACCESORIOS INTERNOS, MATERIAL FILTRANTE PARA EL FAFA EN FORMA DE DISPOSITIVOS OCTOGONALES DE Ø 187 mm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4,500-5,000 litros</t>
  </si>
  <si>
    <t>sistema séptico y FAFA prefabricado en P.R.F.V (Poliéster Reforzado Con Fibra De Vidrio) con capacidad para atender una población de veinti uno a treinta (21 a 30) habitantes, (incluye: accesorios internos, material filtrante para el FAFA que garanticen un área superficial de contacto ≥ 90m2/m3, tubería de PVC-S ø2" con accesorios y malla mosquitera doble. Volumen de 4,500-5,000 litros.</t>
  </si>
  <si>
    <t>S.T.I. Trampa de grasas prefabricada en P.R.F.V (Poliéster Reforzado con Fibra De Vidrio) con capacidad para atender una población de veinti uno a treinta (21 a 30) habitantes.</t>
  </si>
  <si>
    <t>Trampa de grasas prefabricada en P.R.F.V (Poliéster Reforzado con Fibra De Vidrio) con capacidad para atender una población de veinti uno a treinta (21 a 30) habitantes.</t>
  </si>
  <si>
    <t>S.T.I. Ssistema séptico y FAFA prefabricado en P.R.F.V (Poliéster Reforzado Con Fibra De Vidrio) con capacidad para atender una población de treinta y uno a cuarenta (31 a 40) habitantes (INCLUYE: ACCESORIOS INTERNOS, MATERIAL FILTRANTE PARA EL FAFA EN FORMA DE DISPOSITIVOS OCTOGONALES DE Ø 187 mm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6,000-6,500 litros.</t>
  </si>
  <si>
    <t>sistema séptico y FAFA prefabricado en P.R.F.V (Poliéster Reforzado Con Fibra De Vidrio) con capacidad para atender una población de treinta y uno a cuarenta (31 a 40) habitantes, (incluye: accesorios internos, material filtrante para el FAFA que garanticen un área superficial de contacto ≥ 90m2/m3, tubería de PVC-S ø2" con accesorios y malla mosquitera doble. Volumen de 6,000-6,500 litros.</t>
  </si>
  <si>
    <t>buje de 4x3</t>
  </si>
  <si>
    <t>S.T.I. Trampa de grasas prefabricada en P.R.F.V (Poliéster Reforzado con Fibra De Vidrio) con capacidad para atender una población de treinta y uno a cuarenta (31 a 40) habitantes.</t>
  </si>
  <si>
    <t>Trampa de grasas prefabricada en P.R.F.V (Poliéster Reforzado con Fibra De Vidrio) con capacidad para atender una población de treinta y uno a cuarenta (31 a 40) habitantes.</t>
  </si>
  <si>
    <t>S.T.I. sistema séptico y FAFA prefabricado en P.R.F.V (Poliéster Reforzado Con Fibra De Vidrio) con capacidad para atender una población de cuarenta y uno a cincuenta (41 a 50) habitantes (INCLUYE: ACCESORIOS INTERNOS, MATERIAL FILTRANTE PARA EL FAFA EN FORMA DE DISPOSITIVOS OCTOGONALES DE Ø 187 mm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7,500-8,000 litros.</t>
  </si>
  <si>
    <t>sistema séptico y FAFA prefabricado en P.R.F.V (Poliéster Reforzado Con Fibra De Vidrio) con capacidad para atender una población de cuarenta y uno a cincuenta (41 a 50) habitantes, (incluye: accesorios internos, material filtrante para el FAFA que garanticen un área superficial de contacto ≥ 90m2/m3, tubería de PVC-S ø2" con accesorios y malla mosquitera doble. Volumen de 7,500-,8,000 litros.</t>
  </si>
  <si>
    <t>COSTO DIRECTO  (un)</t>
  </si>
  <si>
    <t>S.T.I. Trampa de grasas prefabricada en P.R.F.V (Poliéster Reforzado con Fibra De Vidrio) con capacidad para atender una población de cuarenta y uno a cuarenta (41 a 50) habitantes.</t>
  </si>
  <si>
    <t>Trampa de grasas prefabricada en P.R.F.V (Poliéster Reforzado con Fibra De Vidrio) con capacidad para atender una población de cuarenta y uno a cincuenta (41 a 50) habitantes.</t>
  </si>
  <si>
    <t>S.T.I. sistema séptico y FAFA prefabricado en P.R.F.V (Poliéster Reforzado Con Fibra De Vidrio) con capacidad para atender una población de cincuenta y uno a setenta (51 a 70) habitantes (INCLUYE: ACCESORIOS INTERNOS, MATERIAL FILTRANTE PARA EL FAFA EN FORMA DE DISPOSITIVOS OCTOGONALES DE Ø 187 mm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de 10,000-12,000 litros.</t>
  </si>
  <si>
    <t>sistema séptico y FAFA prefabricado en P.R.F.V (Poliéster Reforzado Con Fibra De Vidrio) con capacidad para atender una población de cincuenta y uno a setenta (51 a 70) habitantes, (incluye: accesorios internos, material filtrante para el FAFA que garanticen un área superficial de contacto ≥ 90m2/m3, tubería de PVC-S ø2" con accesorios y malla mosquitera doble. Volumen de 10,000-12,000 litros.</t>
  </si>
  <si>
    <t>S.T.I. Trampa de grasas prefabricada en P.R.F.V (Poliéster Reforzado con Fibra De Vidrio) con capacidad para atender una población de cincuenta y uno a setenta (51 a 70) habitantes.</t>
  </si>
  <si>
    <t>Trampa de grasas prefabricada en P.R.F.V (Poliéster Reforzado con Fibra De Vidrio) con capacidad para atender una población de cincuenta y uno a setenta (51 a 70) habitantes.</t>
  </si>
  <si>
    <t>S.T.I. sistema séptico y FAFA prefabricado en P.R.F.V (Poliéster Reforzado Con Fibra De Vidrio) con capacidad para atender una población de setenta y uno a noventa (71 a 90) habitantes (INCLUYE: ACCESORIOS INTERNOS, MATERIAL FILTRANTE PARA EL FAFA EN FORMA DE DISPOSITIVOS OCTOGONALES DE Ø 187 mm EN POLIPROPILENO DE BAJA DENSIDAD QUE GARANTICEN UN ÁREA SUPERFICIAL DE CONTACTO ≥ DE 90m2/m3, TUBERÍA DE PVC-S Ø2" CON ACCESORIOS Y MALLA MOSQUITERA DOBLE Y TRANSPORTE Y ACARREO HASTA EL SITIO DE LAS OBRAS). ADICIONALMENTE INCLUYE EL PROCESO DE ARRANQUE Y PUESTA EN MARCHA DEL SISTEMA Y SUMINISTRO DE LODO PARA SU INOCULACIÓN (un). Volumen &gt; 12,000 litros.</t>
  </si>
  <si>
    <t>Suministro sistema séptico y FAFA prefabricado en P.R.F.V (Poliéster Reforzado Con Fibra De Vidrio) con capacidad para atender una población de setenta y uno a noventa (71 a 90) habitantes, (incluye: accesorios internos, material filtrante para el FAFA que garanticen un área superficial de contacto ≥ 90m2/m3, tubería de PVC-S ø2" con accesorios y malla mosquitera doble. Volumen &gt; 12,000 litros.</t>
  </si>
  <si>
    <t>S.T.I. Trampa de grasas prefabricada en P.R.F.V (Poliéster Reforzado con Fibra De Vidrio) con capacidad para atender una población de setenta y uno a noventa (71 a 90) habitantes.</t>
  </si>
  <si>
    <t>Trampa de grasas prefabricada en P.R.F.V (Poliéster Reforzado con Fibra De Vidrio) con capacidad para atender una población de setenta y uno a noventa (71 a 90) habitantes.</t>
  </si>
  <si>
    <t>S.T.I. DE CANAL DE ENTRADA ELABORADO EN P.R.F.V (PLIÉSTER REFORZADO CON FIBRA DE VIDRIO), INCLUYE REJA DE CRIBADO, BANDEJA DE ESCURRIMIENTO, DESARENADOR, CAJA DE DERIVACIÓN Y VERTEDERO) DIMENSIONES  L=2,20m h=0,6 m a=0,4m</t>
  </si>
  <si>
    <t>Suministro de canal de entrada elaborado en P.R.F.V (Poliéster Reforzado con Fibra de Vidrio), incluye reja de cribado, bandeja de escurrimiento, desarenador, caja de derivación y vertedero) Dimensiones  L=2,20m h=0,6 m a=0,4m</t>
  </si>
  <si>
    <t>Mano de obra (Oficial + ayudante)</t>
  </si>
  <si>
    <t>S.T.I. De Lecho de secado elaborado en P.R.F.V (Poliéster Reforzado con Fibra de Vidrio) Ø=1,2m h=1,0m. Incluye accesorios y cubiertas</t>
  </si>
  <si>
    <t xml:space="preserve">Suministro de lecho de secado elaborado en P.R.F.V (Poliéster Reforzado con Fibra de Vidrio) Ø=1,2m h=1,0m. </t>
  </si>
  <si>
    <t>Techo tipo invernadero con cubierta en teja traslucida</t>
  </si>
  <si>
    <t>suministro de apoyos metálicos para techo tipo invernadero</t>
  </si>
  <si>
    <t>Suministro de material  filtrante grava 2"</t>
  </si>
  <si>
    <t xml:space="preserve">Tubería PVS S perforada Ø 4" </t>
  </si>
  <si>
    <t>Codo  90 PVC S  Ø4"</t>
  </si>
  <si>
    <t>TEE PVC  S  Ø 4"</t>
  </si>
  <si>
    <t>S.T.I. VÁLVULA DE BOLA DE Ø2" EN PVC EXTREMO LISO PARA PURGA DE LODOS. INCLUYE ACCESORIOS (un)</t>
  </si>
  <si>
    <t>Suministro válvula de bola de Ø2" en PVC</t>
  </si>
  <si>
    <t>Instalación (Oficial)</t>
  </si>
  <si>
    <t>Buje 3" X 2" en PVC-S</t>
  </si>
  <si>
    <t>Medio codo de 45°x2"</t>
  </si>
  <si>
    <t>Adaptadores macho de 2"</t>
  </si>
  <si>
    <t>Unión para tubería sanitaria Ø2"</t>
  </si>
  <si>
    <t>S.T.I. VÁLVULA DE BOLA DE Ø3" EN PVC EXTREMO LISO PARA PURGA DE LODOS. INCLUYE ACCESORIOS (un)</t>
  </si>
  <si>
    <t>Suministro válvula de bola de Ø3" en PVC</t>
  </si>
  <si>
    <t>Adaptador macho de 3"</t>
  </si>
  <si>
    <t>Medio codo de 45°x3</t>
  </si>
  <si>
    <t>S.T.I. CAJA CIRCULAR EN TUBERÍA PVC-NOVAFORT DE Ø12" PARA VÁLVULA DE PURGA. INCLUYE TAPA EN FIBRA DE VIDRIO CON MANILA SINTÉTICA (un)</t>
  </si>
  <si>
    <t>Extension de 50 cm en tuberia novafort de 12''</t>
  </si>
  <si>
    <t>Tapa en fibra de vidrio de 12'' de diámetro, con manila</t>
  </si>
  <si>
    <t>Mano de Obra (1 Oficial)</t>
  </si>
  <si>
    <t>S.T.I. TUBERÍA PE C40 DE Ø2" CON RESISTENCIA MÍNIMA DE 110 PSI, PARA DESCARGA DE EFLUENTE (m)</t>
  </si>
  <si>
    <t>Suministro de tubería de polietileno C40 - Ø2"</t>
  </si>
  <si>
    <t>Mano de obra (1 ayudante)</t>
  </si>
  <si>
    <t>S.T.I. TUBERÍA PE C40 DE Ø3" CON RESISTENCIA MÍNIMA DE 80 PSI, PARA DESCARGA DE EFLUENTE (m)</t>
  </si>
  <si>
    <t>Suministro de tubería de polietileno C40 - Ø3"</t>
  </si>
  <si>
    <t>S.T.I. ACCESORIOS  Ø2" (50mm) PARA EMPALME DE TUBERÍA PVC-S Y POLIETILENO (PE - C40) (un)</t>
  </si>
  <si>
    <t xml:space="preserve">Suministro de adaptador macho rápido en PE de Ø2" </t>
  </si>
  <si>
    <t xml:space="preserve">Suministro de adaptador hembra PVC de Ø2" </t>
  </si>
  <si>
    <t>Soldadura(1/32 galón), teflón (de 3/4"*1 m) y limpiador (1/32 galón)</t>
  </si>
  <si>
    <t>S.T.I. ACCESORIOS  Ø3" (75mm) PARA EMPALME DE TUBERÍA PVC-S Y POLIETILENO (PE - C40) (un)</t>
  </si>
  <si>
    <t xml:space="preserve">Suministro de adaptador macho rápido en PE de Ø3" </t>
  </si>
  <si>
    <t xml:space="preserve">Suministro de adaptador hembra PVC de Ø3" </t>
  </si>
  <si>
    <t xml:space="preserve">Suministro de Codo 90° PVC de Ø3" </t>
  </si>
  <si>
    <r>
      <t>S.T.I. GEOTEXTIL NT REFERENCIA 1600 (m</t>
    </r>
    <r>
      <rPr>
        <b/>
        <vertAlign val="superscript"/>
        <sz val="10"/>
        <rFont val="Arial"/>
        <family val="2"/>
      </rPr>
      <t>2</t>
    </r>
    <r>
      <rPr>
        <b/>
        <sz val="10"/>
        <rFont val="Arial"/>
        <family val="2"/>
      </rPr>
      <t>)</t>
    </r>
  </si>
  <si>
    <t>Suministro</t>
  </si>
  <si>
    <t>Mano de obra (Oficial + 1 ayudante)</t>
  </si>
  <si>
    <r>
      <t>COSTO DIRECTO (m</t>
    </r>
    <r>
      <rPr>
        <b/>
        <vertAlign val="superscript"/>
        <sz val="10"/>
        <rFont val="Arial"/>
        <family val="2"/>
      </rPr>
      <t>2</t>
    </r>
    <r>
      <rPr>
        <b/>
        <sz val="10"/>
        <rFont val="Arial"/>
        <family val="2"/>
      </rPr>
      <t>)</t>
    </r>
  </si>
  <si>
    <r>
      <t>S.T.I. CAJAS PLÁSTICAS DE GASEOSA RECICLADAS DE 0,41mx0,34mx0,25m COMO MEDIO DE SOPORTE (m</t>
    </r>
    <r>
      <rPr>
        <b/>
        <vertAlign val="superscript"/>
        <sz val="10"/>
        <rFont val="Arial"/>
        <family val="2"/>
      </rPr>
      <t>3</t>
    </r>
    <r>
      <rPr>
        <b/>
        <sz val="10"/>
        <rFont val="Arial"/>
        <family val="2"/>
      </rPr>
      <t>)</t>
    </r>
  </si>
  <si>
    <t>Viaje</t>
  </si>
  <si>
    <t>Instalación (Ayudante)</t>
  </si>
  <si>
    <r>
      <t>COSTO DIRECTO  (m</t>
    </r>
    <r>
      <rPr>
        <b/>
        <vertAlign val="superscript"/>
        <sz val="10"/>
        <rFont val="Arial"/>
        <family val="2"/>
      </rPr>
      <t>3</t>
    </r>
    <r>
      <rPr>
        <b/>
        <sz val="10"/>
        <rFont val="Arial"/>
        <family val="2"/>
      </rPr>
      <t>)</t>
    </r>
  </si>
  <si>
    <t>S.T.I. TUBERÍA PERFORADA PARA POZO DE INFILTRACIÓN, PVC-S Ø2" INCLUYE ACCESORIOS (m)</t>
  </si>
  <si>
    <t>Suministro de tuberia PVC-S Ø2" perforada</t>
  </si>
  <si>
    <t>Instalación (Oficial + Ayudante)</t>
  </si>
  <si>
    <t>Accesorios codos de 90° PVC Ø2</t>
  </si>
  <si>
    <t>Accesorios "Y doble" PVC Ø2</t>
  </si>
  <si>
    <t>S.T.I. PINTURA EPÓXICA PARA PROTECCIÓN DE TUBERÍA EXPUESTA (GAL)</t>
  </si>
  <si>
    <t xml:space="preserve">Suministro de pintura epóxica para protección de tuberia expuesta </t>
  </si>
  <si>
    <t>galon</t>
  </si>
  <si>
    <t>Leyenda</t>
  </si>
  <si>
    <t>Ver informe técnico: 110-IT2302-1897</t>
  </si>
  <si>
    <t>PAVCO</t>
  </si>
  <si>
    <t>Catalogo PAVCO</t>
  </si>
  <si>
    <t>Medio codo de 45°x3"</t>
  </si>
  <si>
    <t>Otros No PAVCO</t>
  </si>
  <si>
    <t>Proveedores</t>
  </si>
  <si>
    <t>Antioqueña de arenas Tel 3030001
Cl. 36 Sur #26a-30, LA MIEL, Envigado, Caldas,</t>
  </si>
  <si>
    <t>https://www.homecenter.com.co/homecenter-co/category/cat6040001/pinturas-especializadas-e-industriales/</t>
  </si>
  <si>
    <t>https://www.hidroequipos.com.co/valvulas.html</t>
  </si>
  <si>
    <t>consulta telefonica FISSAS Y SIPAS tel: 3225262324                4 4446099</t>
  </si>
  <si>
    <t>https://www.homecenter.com.co/homecenter-co/category/cat5820029/tejas-traslucidas/</t>
  </si>
  <si>
    <t>Material triturado</t>
  </si>
  <si>
    <t>Ver informe técnico:110-IT2302-1897</t>
  </si>
  <si>
    <t>CAPACIDAD DEL SISTEMA</t>
  </si>
  <si>
    <r>
      <t xml:space="preserve">Suministro sistema séptico y FAFA  prefabricado en P.R.F.V (Poliéster  Reforzado Con Fibra  De Vidrio) con capacidad para atender una población de tres a nueve (3 a 9) habitantes, (incluye: accesorios internos, material filtrante para el FAFA que garanticen un área superficial de contacto  ≥ 90m2/m3, tubería de PVC-S ø2" con accesorios y malla mosquitera doble. </t>
    </r>
    <r>
      <rPr>
        <b/>
        <sz val="10"/>
        <color theme="1"/>
        <rFont val="Arial"/>
        <family val="2"/>
      </rPr>
      <t>Volumen de 1,500-1,800 litros</t>
    </r>
  </si>
  <si>
    <r>
      <t xml:space="preserve">Suministro sistema séptico y FAFA  prefabricado en P.R.F.V (Poliéster  Reforzado Con Fibra  De Vidrio) con capacidad para atender una población de diez a quince (10 a 15) habitantes, (incluye: accesorios internos, material filtrante para el FAFA que garanticen un área superficial de contacto  ≥ 90m2/m3, tubería de PVC-S ø2" con accesorios y malla mosquitera doble.  </t>
    </r>
    <r>
      <rPr>
        <b/>
        <sz val="10"/>
        <color theme="1"/>
        <rFont val="Arial"/>
        <family val="2"/>
      </rPr>
      <t>Volumen de 2,300-2,500 litros</t>
    </r>
  </si>
  <si>
    <t xml:space="preserve">                                                                                                                                                                                                       </t>
  </si>
  <si>
    <r>
      <t xml:space="preserve">Suministro sistema séptico y FAFA  prefabricado en P.R.F.V (Poliéster  Reforzado Con Fibra  De Vidrio) con capacidad para atender una población de dieciséis a veinte (16 a 20) habitantes, (incluye: accesorios internos, material filtrante para el FAFA que garanticen un área superficial de contacto  ≥ 90m2/m3, tubería de PVC-S ø2" con accesorios y malla mosquitera doble. </t>
    </r>
    <r>
      <rPr>
        <b/>
        <sz val="10"/>
        <color theme="1"/>
        <rFont val="Arial"/>
        <family val="2"/>
      </rPr>
      <t>Volumen de 3,000-3,300 litros</t>
    </r>
  </si>
  <si>
    <r>
      <t>Suministro sistema séptico y FAFA  prefabricado en P.R.F.V (Poliéster  Reforzado Con Fibra  De Vidrio) con capacidad para atender una población de veinti uno a treinta (21 a 30) habitantes, (incluye: accesorios internos, material filtrante para el FAFA que garanticen un área superficial de contacto  ≥ 90m2/m3, tubería de PVC-S ø2" con accesorios y malla mosquitera doble.</t>
    </r>
    <r>
      <rPr>
        <b/>
        <sz val="10"/>
        <color theme="1"/>
        <rFont val="Arial"/>
        <family val="2"/>
      </rPr>
      <t xml:space="preserve"> Volumen de 4,500-5,000 litros</t>
    </r>
  </si>
  <si>
    <r>
      <t xml:space="preserve">Suministro sistema séptico y FAFA  prefabricado en P.R.F.V (Poliéster  Reforzado Con Fibra  De Vidrio) con capacidad para atender una población de treinta y uno  a cuarenta (31 a 40) habitantes, (incluye: accesorios internos, material filtrante para el FAFA que garanticen un área superficial de contacto  ≥ 90m2/m3, tubería de PVC-S ø2" con accesorios y malla mosquitera doble. </t>
    </r>
    <r>
      <rPr>
        <b/>
        <sz val="10"/>
        <color theme="1"/>
        <rFont val="Arial"/>
        <family val="2"/>
      </rPr>
      <t>Volumen de 6,000-6,500 litros</t>
    </r>
    <r>
      <rPr>
        <sz val="10"/>
        <color theme="1"/>
        <rFont val="Arial"/>
        <family val="2"/>
      </rPr>
      <t xml:space="preserve">. </t>
    </r>
  </si>
  <si>
    <r>
      <t xml:space="preserve">Suministro sistema séptico y FAFA  prefabricado en P.R.F.V (Poliéster  Reforzado Con Fibra  De Vidrio) con capacidad para atender una población de cuarenta y uno a cincuenta (41 a 50) habitantes, (incluye: accesorios internos, material filtrante para el FAFA que garanticen un área superficial de contacto  ≥ 90m2/m3, tubería de PVC-S ø2" con accesorios y malla mosquitera doble. </t>
    </r>
    <r>
      <rPr>
        <b/>
        <sz val="10"/>
        <color theme="1"/>
        <rFont val="Arial"/>
        <family val="2"/>
      </rPr>
      <t>Volumen de 7,500-8,000 litros.</t>
    </r>
  </si>
  <si>
    <r>
      <t xml:space="preserve">Suministro sistema séptico y FAFA  prefabricado en P.R.F.V (Poliéster  Reforzado Con Fibra  De Vidrio) con capacidad para atender una población de cincuenta y uno a setenta (51 a 70) habitantes, (incluye: accesorios internos, material filtrante para el FAFA que garanticen un área superficial de contacto  ≥ 90m2/m3, tubería de PVC-S ø2" con accesorios y malla mosquitera doble. </t>
    </r>
    <r>
      <rPr>
        <b/>
        <sz val="10"/>
        <color theme="1"/>
        <rFont val="Arial"/>
        <family val="2"/>
      </rPr>
      <t>Volumen de 10,000-12,000 litros.</t>
    </r>
  </si>
  <si>
    <r>
      <t xml:space="preserve">Suministro sistema séptico y FAFA  prefabricado en P.R.F.V (Poliéster  Reforzado Con Fibra  De Vidrio) con capacidad para atender una población de setenta y uno a noventa (71 a 90) habitantes, (incluye: accesorios internos, material filtrante para el FAFA que garanticen un área superficial de contacto  ≥ 90m2/m3, tubería de PVC-S ø2" con accesorios y malla mosquitera doble. </t>
    </r>
    <r>
      <rPr>
        <b/>
        <sz val="10"/>
        <color theme="1"/>
        <rFont val="Arial"/>
        <family val="2"/>
      </rPr>
      <t>Volumen &gt; 12,000 litros.</t>
    </r>
  </si>
  <si>
    <t>Suministro de canal de entrada elaborado en P.R.F.V (Poliéster Reforzado con Fibra de Vidrio) L=2,20m</t>
  </si>
  <si>
    <t>NOTA: LOS PROMEDIOS INCLUYEN IVA DEL 19%</t>
  </si>
  <si>
    <t>PRECIOS UNITARIOSTRAMPAS DE GRASA 2023</t>
  </si>
  <si>
    <t>CAPACIDAD DE LA TRAMPA DE GRASA</t>
  </si>
  <si>
    <t>NOTA: LOS VALORES INCLUYEN IVA DEL 19%</t>
  </si>
  <si>
    <t>Ejercicio 1. Semáforo: Promedio de valores de cotización para tanques sépticos, canales de entrada y lechos de secado</t>
  </si>
  <si>
    <t>SUMINISTRO DE SISTEMA SÉPTICO DE ACUERDO A LA CAPACIDAD</t>
  </si>
  <si>
    <t>Análisis de datos</t>
  </si>
  <si>
    <t>Fibrasing S.A.S</t>
  </si>
  <si>
    <t>Solo Fibras</t>
  </si>
  <si>
    <t>Fibras Industriales JL</t>
  </si>
  <si>
    <t>Ingeaguas S.A.S</t>
  </si>
  <si>
    <t>VALOR CON IVA DEL 19%</t>
  </si>
  <si>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 </t>
    </r>
    <r>
      <rPr>
        <b/>
        <sz val="10"/>
        <color theme="1"/>
        <rFont val="Arial"/>
        <family val="2"/>
      </rPr>
      <t>tres a nueve (3 a 9)</t>
    </r>
    <r>
      <rPr>
        <sz val="10"/>
        <color theme="1"/>
        <rFont val="Arial"/>
        <family val="2"/>
      </rPr>
      <t xml:space="preserve"> </t>
    </r>
    <r>
      <rPr>
        <b/>
        <sz val="10"/>
        <color theme="1"/>
        <rFont val="Arial"/>
        <family val="2"/>
      </rPr>
      <t>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1.500-1.800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</si>
  <si>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 </t>
    </r>
    <r>
      <rPr>
        <b/>
        <sz val="10"/>
        <color theme="1"/>
        <rFont val="Arial"/>
        <family val="2"/>
      </rPr>
      <t>diez a quince (10 a 15) habitantes</t>
    </r>
    <r>
      <rPr>
        <sz val="10"/>
        <color theme="1"/>
        <rFont val="Arial"/>
        <family val="2"/>
      </rPr>
      <t>, (incluye: accesorios internos, material filtrante para el FAFA que garanticen un área superficial de contacto  ≥ 90m2/m3, tubería de PVC-S ø2" con accesorios y malla mosquitera doble.Recogido en fábrica. Volumen de 2.300-2.500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</si>
  <si>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 </t>
    </r>
    <r>
      <rPr>
        <b/>
        <sz val="10"/>
        <color theme="1"/>
        <rFont val="Arial"/>
        <family val="2"/>
      </rPr>
      <t>dieciséis a veinte (16 a 20) 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3.000-3.300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</si>
  <si>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t>
    </r>
    <r>
      <rPr>
        <b/>
        <sz val="10"/>
        <color theme="1"/>
        <rFont val="Arial"/>
        <family val="2"/>
      </rPr>
      <t xml:space="preserve"> veinti uno a treinta (21 a 30) 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4.500-5.000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</si>
  <si>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t>
    </r>
    <r>
      <rPr>
        <b/>
        <sz val="10"/>
        <color theme="1"/>
        <rFont val="Arial"/>
        <family val="2"/>
      </rPr>
      <t xml:space="preserve"> treinta y uno  a cuarenta (31 a 40) 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6.000-6.500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</si>
  <si>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 </t>
    </r>
    <r>
      <rPr>
        <b/>
        <sz val="10"/>
        <color theme="1"/>
        <rFont val="Arial"/>
        <family val="2"/>
      </rPr>
      <t>cuarenta y uno a cincuenta (41 a 50) 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7.500-8.000 Litros.</t>
    </r>
  </si>
  <si>
    <r>
      <rPr>
        <b/>
        <sz val="10"/>
        <color theme="1"/>
        <rFont val="Arial"/>
        <family val="2"/>
      </rPr>
      <t>Suministro</t>
    </r>
    <r>
      <rPr>
        <sz val="10"/>
        <color theme="1"/>
        <rFont val="Arial"/>
        <family val="2"/>
      </rPr>
      <t xml:space="preserve"> sistema séptico y FAFA  prefabricado en P.R.F.V (Poliéster  Reforzado Con Fibra  De Vidrio) con capacidad para atender una población de</t>
    </r>
    <r>
      <rPr>
        <b/>
        <sz val="10"/>
        <color theme="1"/>
        <rFont val="Arial"/>
        <family val="2"/>
      </rPr>
      <t xml:space="preserve"> cincuenta y uno a setenta (51 a 70) habitantes</t>
    </r>
    <r>
      <rPr>
        <sz val="10"/>
        <color theme="1"/>
        <rFont val="Arial"/>
        <family val="2"/>
      </rPr>
      <t>, (incluye: accesorios internos, material filtrante para el FAFA que garanticen un área superficial de contacto  ≥ 90m2/m3, tubería de PVC-S ø2" con accesorios y malla mosquitera doble. Recogido en fábrica. Volumen de 10.000-12.000 Litros.</t>
    </r>
  </si>
  <si>
    <r>
      <rPr>
        <b/>
        <sz val="10"/>
        <color theme="1"/>
        <rFont val="Arial"/>
        <family val="2"/>
      </rPr>
      <t>Suministro</t>
    </r>
    <r>
      <rPr>
        <sz val="10"/>
        <color theme="1"/>
        <rFont val="Arial"/>
        <family val="2"/>
      </rPr>
      <t xml:space="preserve"> de </t>
    </r>
    <r>
      <rPr>
        <b/>
        <sz val="10"/>
        <color theme="1"/>
        <rFont val="Arial"/>
        <family val="2"/>
      </rPr>
      <t>canal de entrada</t>
    </r>
    <r>
      <rPr>
        <sz val="10"/>
        <color theme="1"/>
        <rFont val="Arial"/>
        <family val="2"/>
      </rPr>
      <t xml:space="preserve"> elaborado en P.R.F.V (Poliéster Reforzado con Fibra de Vidrio) L=2,20m</t>
    </r>
  </si>
  <si>
    <r>
      <rPr>
        <b/>
        <sz val="10"/>
        <color theme="1"/>
        <rFont val="Arial"/>
        <family val="2"/>
      </rPr>
      <t>Suministro</t>
    </r>
    <r>
      <rPr>
        <sz val="10"/>
        <color theme="1"/>
        <rFont val="Arial"/>
        <family val="2"/>
      </rPr>
      <t xml:space="preserve"> de</t>
    </r>
    <r>
      <rPr>
        <b/>
        <sz val="10"/>
        <color theme="1"/>
        <rFont val="Arial"/>
        <family val="2"/>
      </rPr>
      <t xml:space="preserve"> lecho de secado</t>
    </r>
    <r>
      <rPr>
        <sz val="10"/>
        <color theme="1"/>
        <rFont val="Arial"/>
        <family val="2"/>
      </rPr>
      <t xml:space="preserve"> elaborado en P.R.F.V (Poliéster Reforzado con Fibra de Vidrio) Ø=1,2m h=1,0m. </t>
    </r>
  </si>
  <si>
    <t>Suministro de canal de entrada y lechos de secado</t>
  </si>
  <si>
    <t>Valor empleado en la vigencia 2022</t>
  </si>
  <si>
    <t>Valor a emplear vigencia 2023 IPC</t>
  </si>
  <si>
    <t>110-IT2207-7799</t>
  </si>
  <si>
    <t>IPC 13,12%</t>
  </si>
  <si>
    <t>ESTUDIO DE MERCADO PARA TRAMPAS DE GRASA VIGENCIA 2023.</t>
  </si>
  <si>
    <t>SUMINISTRO DE TRAMPA DE GRASA DE ACUERDO A LA CAPACIDAD</t>
  </si>
  <si>
    <t>Trampa de grasas prefabricada en P.R.F.V (Poliéster Reforzado con Fibra De Vidrio) con capacidad para atender una población de tres a nueve (3-9) habitantes.</t>
  </si>
  <si>
    <t>Trampa de grasas prefabricada en P.R.F.V (Poliéster Reforzado con Fibra De Vidrio) con capacidad para atender una población de diez a quince (10-15) habitantes.</t>
  </si>
  <si>
    <t>Remuneración del personal (jornales)</t>
  </si>
  <si>
    <t>Salario dia Oficial con prestaciones</t>
  </si>
  <si>
    <t>Salario dia Ayudante con prestaciones</t>
  </si>
  <si>
    <t>Salario dia 2 Ayudantes con prestaciones</t>
  </si>
  <si>
    <t xml:space="preserve">Salario Oficial + Ayudante dia con prestaciones </t>
  </si>
  <si>
    <t>Salario Oficial + 2 Ayudantes  dia</t>
  </si>
  <si>
    <t>Salario Oficial + 3 Ayudantes  dia</t>
  </si>
  <si>
    <t>Nota: De acuerdo al conocimiento de los profesionales en la ejecución de obra, el salario del oficial se considera como dos veces el salario de un ayudante, es decir que equivale a dos mínimos.</t>
  </si>
  <si>
    <t>RESUMEN</t>
  </si>
  <si>
    <t>SELECCIONAR EL MUNICIPIO Y EL PROMEDIO DE DISTANCIAS DE LAS VEREDAS PARA EL CONVENIO</t>
  </si>
  <si>
    <t>Municipio/Capacidad del sistema</t>
  </si>
  <si>
    <t>Sistema de 1500-1800</t>
  </si>
  <si>
    <t>Sistema de 2300-2500</t>
  </si>
  <si>
    <t>Sistema de 3000-3300</t>
  </si>
  <si>
    <t>Sistema de 4500-5000</t>
  </si>
  <si>
    <t>Sistema de 6000-6500</t>
  </si>
  <si>
    <t>Sistema de 7500-8000</t>
  </si>
  <si>
    <t>Sistema de 10000-12000</t>
  </si>
  <si>
    <t>Sistema mayor de 12000</t>
  </si>
  <si>
    <t>Santa Bárbara</t>
  </si>
  <si>
    <t>Distancia vereda &lt; 10km</t>
  </si>
  <si>
    <t>Promedio de las distancias veredales a la cabecera</t>
  </si>
  <si>
    <t>VALOR TRANSPORTE CONVENIO</t>
  </si>
  <si>
    <t>Cantidad tanques del convenio</t>
  </si>
  <si>
    <t>N° viajes x capacidad</t>
  </si>
  <si>
    <t>3=1+2</t>
  </si>
  <si>
    <t>Valor transporte por sistema</t>
  </si>
  <si>
    <t>6=5*3</t>
  </si>
  <si>
    <t>Valor Transporte por capacidad</t>
  </si>
  <si>
    <t>7=6/4</t>
  </si>
  <si>
    <t>Valor Transporte sistema por viaje</t>
  </si>
  <si>
    <t>Suma 6</t>
  </si>
  <si>
    <t>Valor total transporte</t>
  </si>
  <si>
    <t>Promedio 6 respecto 4</t>
  </si>
  <si>
    <t>VARIABLES</t>
  </si>
  <si>
    <t>Valores empleados vigencia 2022 según informe técnico 110-IT2207-7799</t>
  </si>
  <si>
    <t>Valores a emplear vigencia 2023 IPC</t>
  </si>
  <si>
    <t>ANÁLISIS DE DATOS</t>
  </si>
  <si>
    <t xml:space="preserve">MaproAgua 110-COE2205-17539 </t>
  </si>
  <si>
    <t xml:space="preserve">Fibrasing 
110-COE2205-18554 </t>
  </si>
  <si>
    <t xml:space="preserve">Fibrambiente
110-COE2205-17528 </t>
  </si>
  <si>
    <t>Promedio (1)</t>
  </si>
  <si>
    <t>Promedio (2)</t>
  </si>
  <si>
    <t>Promedio (1) IPC 13,12%</t>
  </si>
  <si>
    <t>Promedio (2) IPC 13,12%</t>
  </si>
  <si>
    <r>
      <rPr>
        <b/>
        <sz val="10"/>
        <color theme="1"/>
        <rFont val="Arial"/>
        <family val="2"/>
      </rPr>
      <t>Transporte</t>
    </r>
    <r>
      <rPr>
        <sz val="10"/>
        <color theme="1"/>
        <rFont val="Arial"/>
        <family val="2"/>
      </rPr>
      <t xml:space="preserve"> por kilómetro recorrido para un sistema séptico y FAFA prefabricado en P.R.F.V (Poliéster  Reforzado Con Fibra  De Vidrio) con capacidad para atender una población de </t>
    </r>
    <r>
      <rPr>
        <b/>
        <sz val="10"/>
        <color theme="1"/>
        <rFont val="Arial"/>
        <family val="2"/>
      </rPr>
      <t>tres a nueve (3 a 9) habitantes. Volumen de 1.500-1.800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</si>
  <si>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de </t>
    </r>
    <r>
      <rPr>
        <b/>
        <sz val="10"/>
        <color theme="1"/>
        <rFont val="Arial"/>
        <family val="2"/>
      </rPr>
      <t>diez a quince (10 a 15) habitantes. Volumen de 2.300-2.500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</si>
  <si>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t>
    </r>
    <r>
      <rPr>
        <b/>
        <sz val="10"/>
        <color theme="1"/>
        <rFont val="Arial"/>
        <family val="2"/>
      </rPr>
      <t xml:space="preserve">dieciséis a veinte (16 a 20) habitantes.  Volumen de 3.000-3.300 litros. </t>
    </r>
  </si>
  <si>
    <r>
      <rPr>
        <b/>
        <sz val="10"/>
        <color theme="1"/>
        <rFont val="Arial"/>
        <family val="2"/>
      </rPr>
      <t xml:space="preserve">Transporte </t>
    </r>
    <r>
      <rPr>
        <sz val="10"/>
        <color theme="1"/>
        <rFont val="Arial"/>
        <family val="2"/>
      </rPr>
      <t>por kilómetro recorrido para un sistema séptico y FAFA prefabricado en P.R.F.V (Poliéster  Reforzado Con Fibra  De Vidrio)con capacidad para atender una población de v</t>
    </r>
    <r>
      <rPr>
        <b/>
        <sz val="10"/>
        <color theme="1"/>
        <rFont val="Arial"/>
        <family val="2"/>
      </rPr>
      <t>einti uno a treinta (21 a 30) habitantes.Volumen de 4.500-5.000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</si>
  <si>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de</t>
    </r>
    <r>
      <rPr>
        <b/>
        <sz val="10"/>
        <color theme="1"/>
        <rFont val="Arial"/>
        <family val="2"/>
      </rPr>
      <t xml:space="preserve"> treinta y uno a cuarenta (31 a 40) habitantes.Volumen de6.000-6.500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</si>
  <si>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de </t>
    </r>
    <r>
      <rPr>
        <b/>
        <sz val="10"/>
        <color theme="1"/>
        <rFont val="Arial"/>
        <family val="2"/>
      </rPr>
      <t>cuarenta y uno a cincuenta (41 a 50) habitantes. Volumen de 7.500-8.000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</si>
  <si>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de  </t>
    </r>
    <r>
      <rPr>
        <b/>
        <sz val="10"/>
        <color theme="1"/>
        <rFont val="Arial"/>
        <family val="2"/>
      </rPr>
      <t>cincuenta y uno a setenta (51 a 70) habitantes. Volumen de 10.000-12.000 litros.</t>
    </r>
  </si>
  <si>
    <r>
      <rPr>
        <b/>
        <sz val="10"/>
        <color theme="1"/>
        <rFont val="Arial"/>
        <family val="2"/>
      </rPr>
      <t>Transporte</t>
    </r>
    <r>
      <rPr>
        <sz val="10"/>
        <color theme="1"/>
        <rFont val="Arial"/>
        <family val="2"/>
      </rPr>
      <t xml:space="preserve"> por kilómetro recorrido para un sistema séptico y FAFA prefabricado en P.R.F.V (Poliéster  Reforzado Con Fibra  De Vidrio)con capacidad para atender una población de  </t>
    </r>
    <r>
      <rPr>
        <b/>
        <sz val="10"/>
        <color theme="1"/>
        <rFont val="Arial"/>
        <family val="2"/>
      </rPr>
      <t xml:space="preserve"> setenta y uno a noventa (71 a 90) habitantes. Volumen &gt; 12.000 litros.</t>
    </r>
  </si>
  <si>
    <t>Transporte de Medellín a Cabeceras municipales: Valor unitario por kilómetro recorrido.</t>
  </si>
  <si>
    <t>Municipios Corantioquia</t>
  </si>
  <si>
    <t>Distancia [km]</t>
  </si>
  <si>
    <t>Medellín</t>
  </si>
  <si>
    <t>P2</t>
  </si>
  <si>
    <t>Bello</t>
  </si>
  <si>
    <t>Envigado</t>
  </si>
  <si>
    <t>Itagüí</t>
  </si>
  <si>
    <t>Sabaneta</t>
  </si>
  <si>
    <t>La Estrella</t>
  </si>
  <si>
    <t>Copacabana</t>
  </si>
  <si>
    <t>Caldas</t>
  </si>
  <si>
    <t>Girardota</t>
  </si>
  <si>
    <t>Heliconia</t>
  </si>
  <si>
    <t>San Jerónimo</t>
  </si>
  <si>
    <t>Armenia</t>
  </si>
  <si>
    <t>Angelópolis</t>
  </si>
  <si>
    <t>San Pedro de los Milagros</t>
  </si>
  <si>
    <t>Amagá</t>
  </si>
  <si>
    <t>Barbosa</t>
  </si>
  <si>
    <t>Ebéjico</t>
  </si>
  <si>
    <t>Donmatías</t>
  </si>
  <si>
    <t>Sopetrán</t>
  </si>
  <si>
    <t>Entrerríos</t>
  </si>
  <si>
    <t>Montebello</t>
  </si>
  <si>
    <t>Santa Fe de Antioquia</t>
  </si>
  <si>
    <t>Fredonia</t>
  </si>
  <si>
    <t>Titiribí</t>
  </si>
  <si>
    <t>Venecia</t>
  </si>
  <si>
    <t>Belmira</t>
  </si>
  <si>
    <t>Olaya</t>
  </si>
  <si>
    <t>Santa Rosa de Osos</t>
  </si>
  <si>
    <t>Liborina</t>
  </si>
  <si>
    <t>La Pintada</t>
  </si>
  <si>
    <t>Anzá</t>
  </si>
  <si>
    <t>Cisneros</t>
  </si>
  <si>
    <t>Gómez Plata</t>
  </si>
  <si>
    <t>Concordia</t>
  </si>
  <si>
    <t>Buriticá</t>
  </si>
  <si>
    <t>Yolombó</t>
  </si>
  <si>
    <t>Caicedo</t>
  </si>
  <si>
    <t>Salgar</t>
  </si>
  <si>
    <t>Hispania</t>
  </si>
  <si>
    <t>Carolina del Príncipe</t>
  </si>
  <si>
    <t>Tarso</t>
  </si>
  <si>
    <t>Valparaíso</t>
  </si>
  <si>
    <t>Ciudad Bolívar</t>
  </si>
  <si>
    <t>Támesis</t>
  </si>
  <si>
    <t>Jericó</t>
  </si>
  <si>
    <t>Sabanalarga</t>
  </si>
  <si>
    <t>Andes</t>
  </si>
  <si>
    <t>Pueblorrico</t>
  </si>
  <si>
    <t>Betulia</t>
  </si>
  <si>
    <t>Betania</t>
  </si>
  <si>
    <t>Yarumal</t>
  </si>
  <si>
    <t>Caramanta</t>
  </si>
  <si>
    <t>Guadalupe</t>
  </si>
  <si>
    <t>San José de la Montaña</t>
  </si>
  <si>
    <t>Yalí</t>
  </si>
  <si>
    <t>Jardín</t>
  </si>
  <si>
    <t>Maceo</t>
  </si>
  <si>
    <t>San Andrés de Cuerquia</t>
  </si>
  <si>
    <t>Angostura</t>
  </si>
  <si>
    <t>Campamento</t>
  </si>
  <si>
    <t>Caracolí</t>
  </si>
  <si>
    <t>Amalfi</t>
  </si>
  <si>
    <t>Vegachí</t>
  </si>
  <si>
    <t>P1</t>
  </si>
  <si>
    <t>Valdivia</t>
  </si>
  <si>
    <t>Toledo</t>
  </si>
  <si>
    <t>Anorí</t>
  </si>
  <si>
    <t>Briceño</t>
  </si>
  <si>
    <t>Puerto Berrío</t>
  </si>
  <si>
    <t>Remedios</t>
  </si>
  <si>
    <t>Ituango</t>
  </si>
  <si>
    <t>Segovia</t>
  </si>
  <si>
    <t>Tarazá</t>
  </si>
  <si>
    <t>Puerto Nare</t>
  </si>
  <si>
    <t>Cáceres</t>
  </si>
  <si>
    <t>Caucasia</t>
  </si>
  <si>
    <t>Yondó</t>
  </si>
  <si>
    <t>Nechí</t>
  </si>
  <si>
    <t>El Bagre</t>
  </si>
  <si>
    <t>Zaragoza</t>
  </si>
  <si>
    <r>
      <rPr>
        <b/>
        <sz val="10"/>
        <rFont val="Arial"/>
        <family val="2"/>
      </rPr>
      <t>Nota: Distancias tomadas de:</t>
    </r>
    <r>
      <rPr>
        <sz val="10"/>
        <rFont val="Arial"/>
        <family val="2"/>
      </rPr>
      <t xml:space="preserve"> https://www.antioquiadatos.gov.co/index.php/1-6-distancias-y-tiempos-por-carretera-desde-medellin-hasta-los-demas-municipios-de-antioquia-ano-2017</t>
    </r>
  </si>
  <si>
    <t xml:space="preserve">Transporte de cabeceras municipales a sitio de instalación zona veredal. </t>
  </si>
  <si>
    <t>Transporte interno</t>
  </si>
  <si>
    <t>Valor del transporte por cada pozo con capacidad de 3 a 9 personas. Volumen de 1,500-1,800 litros.</t>
  </si>
  <si>
    <t>Valor del transporte por cada pozo con capacidad 10 a 15 personas. Volumen de 2,300-2,500 litros.</t>
  </si>
  <si>
    <t>Valor del transporte por cada pozo con capacidad 16 a 20 personas. Volumen de 3,000-3,300 litros.</t>
  </si>
  <si>
    <t>Valor del transporte por cada pozo con capacidad 21 a 30 personas. Volumen de 4,500-5,000 litros.</t>
  </si>
  <si>
    <t>Valor del transporte por cada pozo con capacidad 31 a 40 personas. Volumen de 6,000-6,500 litros.</t>
  </si>
  <si>
    <t>Valor del transporte por cada pozo con capacidad 41 a 50 personas. Volumen de 7,500-8,000 litros.</t>
  </si>
  <si>
    <t>Valor del transporte por cada pozo con capacidad 51 a 70 personas. Volumen de 10,000-12,000 litros.</t>
  </si>
  <si>
    <t>Valor del transporte por cada pozo con capacidad 71 a 90 personas. Volumen &gt; 12,000 litros.</t>
  </si>
  <si>
    <t>Valor promedio de Medellín a cada cabecera Municipal &lt; 50 km</t>
  </si>
  <si>
    <t>Distancia vereda &gt;= 10 km</t>
  </si>
  <si>
    <t>Aunar esfuerzos para contribuir al saneamiento hídrico rural</t>
  </si>
  <si>
    <t>VALOR EN $</t>
  </si>
  <si>
    <t>SUBTOTAL($)</t>
  </si>
  <si>
    <t>PORCENTAJE (%)</t>
  </si>
  <si>
    <t>1.</t>
  </si>
  <si>
    <t>ADMINISTRACIÓN</t>
  </si>
  <si>
    <t>1.1</t>
  </si>
  <si>
    <t>Costos de preparación de la oferta</t>
  </si>
  <si>
    <t>_____________</t>
  </si>
  <si>
    <t>Otros (especificar en hoja aparte)</t>
  </si>
  <si>
    <t>1.2</t>
  </si>
  <si>
    <t>Costos de legalización</t>
  </si>
  <si>
    <t>1.2.1</t>
  </si>
  <si>
    <t>Garantías</t>
  </si>
  <si>
    <t>1.2.2</t>
  </si>
  <si>
    <t>Impuestos</t>
  </si>
  <si>
    <t>1.2.3</t>
  </si>
  <si>
    <t>1.3</t>
  </si>
  <si>
    <t>Costos del personal de administración del contrato</t>
  </si>
  <si>
    <t>1.3.1</t>
  </si>
  <si>
    <t>Director de obras</t>
  </si>
  <si>
    <t>1.3.2</t>
  </si>
  <si>
    <t>Ingeniero residente(s)</t>
  </si>
  <si>
    <t>1.3.4</t>
  </si>
  <si>
    <t>Maestro(s) de obra, almacenista(s) y encargado(s) de diferentes actividades, secretaria(s) y mensajero(s)</t>
  </si>
  <si>
    <t>total</t>
  </si>
  <si>
    <t>1.4</t>
  </si>
  <si>
    <t>Otros costos</t>
  </si>
  <si>
    <t>1.4.1</t>
  </si>
  <si>
    <t xml:space="preserve">Arrendamientos, servicios, gastos de papelería, equipos de oficina y comunicaciones, </t>
  </si>
  <si>
    <t>TOTAL ADMINISTRACIÓN</t>
  </si>
  <si>
    <t>2.</t>
  </si>
  <si>
    <t>UTILIDAD</t>
  </si>
  <si>
    <t>TOTAL A.U.</t>
  </si>
  <si>
    <t>%</t>
  </si>
  <si>
    <t>Promedio del transporte según distancia de las veredas del municipio</t>
  </si>
  <si>
    <t>190-MEM2301-176 Jornal 2024</t>
  </si>
  <si>
    <t>Catalogo Gerfor 2023</t>
  </si>
  <si>
    <t>Se actualiza el valor de acuerdo al IPC 9,28%</t>
  </si>
  <si>
    <t>Suministro de tuberia PVC-S Ø4"</t>
  </si>
  <si>
    <t xml:space="preserve">S.T.I. TUBERÍA PVC-S DE Ø4'' (100 mm) INCLUYE ACCESORIOS (m) </t>
  </si>
  <si>
    <t xml:space="preserve">S.T.I. Tubería pvc-s de ø4" (100 mm). Incluye accesorios </t>
  </si>
  <si>
    <t>Fibraguas S.A.S</t>
  </si>
  <si>
    <t>Maproaguas S.A.S</t>
  </si>
  <si>
    <t>NO REPORTA VALOR</t>
  </si>
  <si>
    <t>Fecha última consulta 16/05/2024</t>
  </si>
  <si>
    <t>Media Geométrica 1</t>
  </si>
  <si>
    <t>Media Geométrica 2</t>
  </si>
  <si>
    <t>Mano de obra (Oficial + 1 ayudante)/40m-día</t>
  </si>
  <si>
    <t>VARIANZA</t>
  </si>
  <si>
    <t>D. ESTANDAR</t>
  </si>
  <si>
    <t>COEF. VARIACIÓN</t>
  </si>
  <si>
    <t>ANÁLISIS DE DATOS 1</t>
  </si>
  <si>
    <t>ANÁLISIS DE DATOS 2</t>
  </si>
  <si>
    <t>Valores empleados vigencia 2024</t>
  </si>
  <si>
    <t>IPC 9,28%</t>
  </si>
  <si>
    <t>Valor a emplear vigencia 2024 IPC</t>
  </si>
  <si>
    <t>SMMMLV 2024</t>
  </si>
  <si>
    <t>Variación</t>
  </si>
  <si>
    <t>PRECIOS UNITARIOS SISTEMAS SÉPTICOS 2024</t>
  </si>
  <si>
    <t>Valor usado 2023</t>
  </si>
  <si>
    <t>Valor a usar 2024</t>
  </si>
  <si>
    <t>TOMADO DE 190-MEM2401-309</t>
  </si>
  <si>
    <t>Tarifa 2024</t>
  </si>
  <si>
    <t>TARIFAS PERMISO DE VERTIMIENTOS 2024</t>
  </si>
  <si>
    <r>
      <t>EXCAVACIÓN MANUAL EN MATERIAL COMÚN Y/O SUELO ROCOSO HASTA 4 m DE PROFUNDIDAD, BAJO CUALQUIER GRADO DE HUMEDAD (m</t>
    </r>
    <r>
      <rPr>
        <b/>
        <vertAlign val="superscript"/>
        <sz val="10"/>
        <rFont val="Arial"/>
        <family val="2"/>
      </rPr>
      <t>3</t>
    </r>
    <r>
      <rPr>
        <b/>
        <sz val="10"/>
        <rFont val="Arial"/>
        <family val="2"/>
      </rPr>
      <t>)</t>
    </r>
  </si>
  <si>
    <t>Media Geométrica 3</t>
  </si>
  <si>
    <t>Valores a emplear vigencia 2024</t>
  </si>
  <si>
    <t xml:space="preserve">Promedio (1) </t>
  </si>
  <si>
    <t xml:space="preserve">Promedio (2) </t>
  </si>
  <si>
    <t>Total tanques de 1800</t>
  </si>
  <si>
    <t>Total Tanques &gt; 1800</t>
  </si>
  <si>
    <t xml:space="preserve">I. Tubería pvc-s de ø4" (100 mm). Incluye accesorios </t>
  </si>
  <si>
    <t>I. Tubería pvc-s de ø4" (100 mm). Incluye accesorios (ver A.P.U)</t>
  </si>
  <si>
    <t>Concreto de limpieza e= 0.05 m de 2000 psi (140kg/cm²)</t>
  </si>
  <si>
    <t>m³</t>
  </si>
  <si>
    <t>Concreto de 3000 psi (210 kg/cm²)  en placa de fondo</t>
  </si>
  <si>
    <t>Concreto de 3000 psi (210 kg/cm²)  en muros</t>
  </si>
  <si>
    <t>Mortero 1:4</t>
  </si>
  <si>
    <t xml:space="preserve">kg </t>
  </si>
  <si>
    <t>Herramienta menor</t>
  </si>
  <si>
    <t>glb</t>
  </si>
  <si>
    <t>h</t>
  </si>
  <si>
    <t>Mezcladora de trompo</t>
  </si>
  <si>
    <t>Parrilla en varilla 3/8 cada 10 cm para la tapa</t>
  </si>
  <si>
    <t>Acero de refuerzo en varilla 3/8 cada 10 cm en malla</t>
  </si>
  <si>
    <t>Marco en angulo de2"x1/8</t>
  </si>
  <si>
    <t>Formaleta metalica</t>
  </si>
  <si>
    <t>Mano de obra (Oficial + Ayudante)</t>
  </si>
  <si>
    <t>Caja de inspección</t>
  </si>
  <si>
    <t xml:space="preserve">S.T.I. Pintura epóxica para protección de tuberia expuesta </t>
  </si>
  <si>
    <t xml:space="preserve">.I. Pintura epóxica para protección de tuberia expuesta </t>
  </si>
  <si>
    <t xml:space="preserve">T.I. Pintura epóxica para protección de tuberia expuesta </t>
  </si>
  <si>
    <t>S.T.I Caja de inspección</t>
  </si>
  <si>
    <t>I. De sifón S.R. De 135° en pvc-s  ø3" para control de olores (pozo)</t>
  </si>
  <si>
    <t>S.T. De sifón s.r. De 135° en pvc-s  ø3" para control de olores  (ver A.P.U) (pozo)</t>
  </si>
  <si>
    <t>S.T.I. De sifón S.R. De 135° en pvc-s  ø3" para control de olores (trampa de grasas)</t>
  </si>
  <si>
    <t>S.T.I. De sifón S.R. De 135° en pvc-s  ø3" para control de olores (pozo)</t>
  </si>
  <si>
    <t>I. De sifón S.R. De 135° en pvc-s  ø3" para control de olores (trampa grasa)</t>
  </si>
  <si>
    <t>S.T. De sifón s.r. De 135° en pvc-s  ø3" para control de olores  (ver A.P.U) (trampa grasa)</t>
  </si>
  <si>
    <t>Arena de concreto</t>
  </si>
  <si>
    <t>Arena de pega</t>
  </si>
  <si>
    <t>Triturado 3/4</t>
  </si>
  <si>
    <t>Alambre recocido (negro) No.18</t>
  </si>
  <si>
    <t>Agua</t>
  </si>
  <si>
    <t xml:space="preserve">Alambre negro #18 </t>
  </si>
  <si>
    <t>Malla electrosoldada 084 (4,0x4,0mm) 15x15 cm x14m2</t>
  </si>
  <si>
    <t>Ángulo 2x1/8 x 6m</t>
  </si>
  <si>
    <t>Varilla de hierro corrugado 3/8 x 6 m</t>
  </si>
  <si>
    <t>Cemento gris x50kg</t>
  </si>
  <si>
    <t>https://www.homecenter.com.co/homecenter-co/product/13846/cemento-argos-gris-50kg/13846/</t>
  </si>
  <si>
    <t>https://www.homecenter.com.co/homecenter-co/product/295420/sika-101-mortero-plus-recubrimiento-impermeable-gris-25kg/295420/</t>
  </si>
  <si>
    <t>https://www.epm.com.co/content/dam/epm/clientes-y-usuarios/aguas/tarifas-aguas/2024/05-tarifas-aguas-fact-may-2024.pdf</t>
  </si>
  <si>
    <t xml:space="preserve">Aditivo impermeabilizante </t>
  </si>
  <si>
    <t>Consulta telefónica a Urifer tel: 4448982</t>
  </si>
  <si>
    <t>https://www.homecenter.com.co/homecenter-co/product/43266/malla-15x15cm-40mm-xx-084-6x235m/43266/</t>
  </si>
  <si>
    <t>https://gyj.com.co/malambo/alambre-recocido-malambo-trefilados.html</t>
  </si>
  <si>
    <t>https://www.homecenter.com.co/homecenter-co/product/89828/angulo-6m-x-2-x-1-8-pulg/89828/</t>
  </si>
  <si>
    <t>https://mayoristademateriales.com/producto/varilla-hierro-corrugada-3-8-por-6-mts/</t>
  </si>
  <si>
    <t xml:space="preserve">Concreto de 3000 psi (210 kg/cm²)  en tapa </t>
  </si>
  <si>
    <t>Sika 101 Mortero plus x 25 kg</t>
  </si>
  <si>
    <t>110-COE2405-19171</t>
  </si>
  <si>
    <t>110-COE2405-19208</t>
  </si>
  <si>
    <t>110-COE2405-19235</t>
  </si>
  <si>
    <t>110-COE2405-19253</t>
  </si>
  <si>
    <t>110-COE2405-19242</t>
  </si>
  <si>
    <t>110-COE2405-19198</t>
  </si>
  <si>
    <t>110-COE2405-19247</t>
  </si>
  <si>
    <t>ANÁLISIS DE PRECIOS UNITARIOS (A.P.U) 2024</t>
  </si>
  <si>
    <t>Dosificación 1:4</t>
  </si>
  <si>
    <t xml:space="preserve">Mortero </t>
  </si>
  <si>
    <t xml:space="preserve">Concreto </t>
  </si>
  <si>
    <t>2000 psi (140 kg/cm2)</t>
  </si>
  <si>
    <t>3000 psi (210 kg/cm2)</t>
  </si>
  <si>
    <t>Proyectos Tipo DNP Unidad Sanitaria</t>
  </si>
  <si>
    <t>Material expansivo (agente demoledor/cemento expansivo)</t>
  </si>
  <si>
    <t>Suministro de apoyos metálicos para techo tipo invernadero</t>
  </si>
  <si>
    <t>Techo tipo invernadero con cubierta en teja traslucida  
Fecha última consulta 21/05/2024</t>
  </si>
  <si>
    <t>Fecha última consulta 21/05/2024</t>
  </si>
  <si>
    <t>Fibrasing 
110-COE2405-19208</t>
  </si>
  <si>
    <t>Fibras industriales JL
110-COE2405-19242</t>
  </si>
  <si>
    <t>Fibraguas
110-COE2405-19247</t>
  </si>
  <si>
    <t>Se actualiza con IPC 9,28% a corte del periodo 2023 (año corrido) o con catalogo Gerfor</t>
  </si>
  <si>
    <t>S.T.I. I.Construcción de CAJA de inspección en concreto 210 kg/cm2 (3000 psi), con dimensiones 0,30x0,30x0,40m (medidas internas) con espesor en muros e=0,10m. Incluye tapa de 0,35x0,35m en concreto en e=0,05m, con ángulo de 2"x1/8" y parrilla en varilla 3/8, mortero 1:4 con impermeabilizante integral de morteros, acero de refuerzo, concreto de limpieza de 140 kg/cm2 (2000 psi), transporte y acarreo hasta el sitio de obra y todos los elementos necesarios para su correcta construcción y funcionamiento. La excavación, se pagará en su respectivo item.</t>
  </si>
  <si>
    <t>Fiberglasing S.A.S</t>
  </si>
  <si>
    <t>Maproaguas 110-COE2405-19171</t>
  </si>
  <si>
    <t>Ver informe técnico: xxx</t>
  </si>
  <si>
    <t>Excavación manual en material común hasta  4 m de profundidad, bajo cualquier grado de humedad (se incluye pruebas de percolación)</t>
  </si>
  <si>
    <t>10% del total</t>
  </si>
  <si>
    <t>Cantidad PV</t>
  </si>
  <si>
    <t>valor 1 PV</t>
  </si>
  <si>
    <t>Corantioquia</t>
  </si>
  <si>
    <t>con iva</t>
  </si>
  <si>
    <t>sin iva</t>
  </si>
  <si>
    <t>ZONA</t>
  </si>
  <si>
    <t xml:space="preserve">MUNICIPIO </t>
  </si>
  <si>
    <t>ALCALDE</t>
  </si>
  <si>
    <t>CELULAR</t>
  </si>
  <si>
    <t>CEDULA</t>
  </si>
  <si>
    <t>CÁCERES</t>
  </si>
  <si>
    <t>DAMIANA MARIA MONTERROSA PÉREZ</t>
  </si>
  <si>
    <t>CAUCASIA</t>
  </si>
  <si>
    <t>JOHAN ODERIS MONTES CORTES</t>
  </si>
  <si>
    <t>BAJO CAUCA</t>
  </si>
  <si>
    <t>EL BAGRE</t>
  </si>
  <si>
    <t>MARCO FIDEL TRESPALACIOS BULLOSO</t>
  </si>
  <si>
    <t>NECHÍ</t>
  </si>
  <si>
    <t>YUMARIS ENRIQUE HERIQUEZ BANQUET</t>
  </si>
  <si>
    <t>TARAZÁ</t>
  </si>
  <si>
    <t xml:space="preserve">YOMER FABIAN ALVAREZ CORREA </t>
  </si>
  <si>
    <t>ZARAGOZA</t>
  </si>
  <si>
    <t>ANDRES EMILIO LUJAN MONRROY</t>
  </si>
  <si>
    <t>VALDIVIA</t>
  </si>
  <si>
    <t>CARLOS DANOBER MOLINA BETANCUR</t>
  </si>
  <si>
    <t>MAGDALENA</t>
  </si>
  <si>
    <t>CARACOLÍ</t>
  </si>
  <si>
    <t>RODRIGO ALBEIRO  CADAVID HERRERA</t>
  </si>
  <si>
    <t>MEDIO</t>
  </si>
  <si>
    <t>MACEO</t>
  </si>
  <si>
    <t>CAROLINA ANDRESA SOSA GÓMEZ</t>
  </si>
  <si>
    <t>PUERTO BERRÍO</t>
  </si>
  <si>
    <t>ROBINSON ALBERTO BAENA ZULUAGA</t>
  </si>
  <si>
    <t>PUERTO NARE</t>
  </si>
  <si>
    <t>JUAN CARLOS ACEVEDO ALZATE</t>
  </si>
  <si>
    <t>PUERTO TIRUNFO</t>
  </si>
  <si>
    <t>FRANKLIN PORTILLO GÓMEZ</t>
  </si>
  <si>
    <t>YONDÓ</t>
  </si>
  <si>
    <t>YERSON ANTONIO ARIZA RIVERA</t>
  </si>
  <si>
    <t>AMALFI</t>
  </si>
  <si>
    <t>WILMAR ALONSO VELEZ LONDOÑO</t>
  </si>
  <si>
    <t>ANORÍ</t>
  </si>
  <si>
    <t>GUSTAVO ALFREDO SILVA GUTIERREZ</t>
  </si>
  <si>
    <t>CISNEROS</t>
  </si>
  <si>
    <t>LINA MARIA CORREA VALENCIA</t>
  </si>
  <si>
    <t>NORDESTE</t>
  </si>
  <si>
    <t>REMEDIOS</t>
  </si>
  <si>
    <t>ALBEIRO ARENAS MOLINA</t>
  </si>
  <si>
    <t>SAN ROQUE</t>
  </si>
  <si>
    <t>ALEJANDRO VILLEGAS</t>
  </si>
  <si>
    <t>SANTO DOMINGO</t>
  </si>
  <si>
    <t>FABIO IGNACIO MIRA VALENCIA</t>
  </si>
  <si>
    <t>SEGOVIA</t>
  </si>
  <si>
    <t>EDWIN ALEXANDER CASTAÑEDA VAHOS</t>
  </si>
  <si>
    <t>VEGACHÍ</t>
  </si>
  <si>
    <t>JOSE MARIA OCHOA MUÑOZ</t>
  </si>
  <si>
    <t>YALÍ</t>
  </si>
  <si>
    <t>JHON JAIRO GIRALDO  POSADA</t>
  </si>
  <si>
    <t>YOLOMBÓ</t>
  </si>
  <si>
    <t>JESUS AMADOR PEREZ VALENCIA</t>
  </si>
  <si>
    <t>ANGOSTURA</t>
  </si>
  <si>
    <t>VICTOR IGNACIO MEDINA GÓMEZ</t>
  </si>
  <si>
    <t>BELMIRA</t>
  </si>
  <si>
    <t>DARCY ESTEBAN ARBOLEDA RUA</t>
  </si>
  <si>
    <t>BRICEÑO</t>
  </si>
  <si>
    <t>NOE DE JESUS ESPINOSA VASQUEZ</t>
  </si>
  <si>
    <t>CAMPAMENTO</t>
  </si>
  <si>
    <t>CRISTIAN ANDRES AGUDELO POSADA</t>
  </si>
  <si>
    <t>CAROLINA</t>
  </si>
  <si>
    <t>ANA ISABEL AVENDAÑO DUQUE</t>
  </si>
  <si>
    <t>DON MATÍAS</t>
  </si>
  <si>
    <t>JAVIER DARIO LÓPEZ RESTREPO</t>
  </si>
  <si>
    <t>NORTE</t>
  </si>
  <si>
    <t>ENTRERRÍOS</t>
  </si>
  <si>
    <t>JULIO CESAR LÓPERA POSADA</t>
  </si>
  <si>
    <t>GÓMEZ PLATA</t>
  </si>
  <si>
    <t>LUIS GUILLERMO PÉREZ ECHEVERRI</t>
  </si>
  <si>
    <t>GUADALUPE</t>
  </si>
  <si>
    <t>JOSE FERNANDO SALAZAR OSPINA</t>
  </si>
  <si>
    <t>ITUANGO</t>
  </si>
  <si>
    <t>JAVIER DE JESUS PARIAS POSSO</t>
  </si>
  <si>
    <t>SAN ANDRÉS DE CUERQUIA</t>
  </si>
  <si>
    <t>JOSÉ FERNANDO CHAVARRIA CHAVARRIA</t>
  </si>
  <si>
    <t>SAN JOSÉ DE LA MONTAÑA</t>
  </si>
  <si>
    <t>JULIAN ANDRES GONZÁLEZ POSADA</t>
  </si>
  <si>
    <t>SAN PEDRO DE LOS MILAGROS</t>
  </si>
  <si>
    <t>JOSE DANILO ALVAREZ RODRIGUEZ</t>
  </si>
  <si>
    <t>SANTA ROSA DE OSOS</t>
  </si>
  <si>
    <t>LUIS BERNARDO MOLINA GRANDA</t>
  </si>
  <si>
    <t>TOLEDO</t>
  </si>
  <si>
    <t>JHONNY ALBERTO MARIN MUÑETON</t>
  </si>
  <si>
    <t>YARUMAL</t>
  </si>
  <si>
    <t>CRISTIAN DAVID CESPEDES CORREA</t>
  </si>
  <si>
    <t>ABRIAQUÍ</t>
  </si>
  <si>
    <t>DANIEL ALBERTO SALAS GALLEGO</t>
  </si>
  <si>
    <t>ANZÁ</t>
  </si>
  <si>
    <t>JUAN GUILLERMO HINCAPIE FIGUEROA</t>
  </si>
  <si>
    <t>ARMENIA</t>
  </si>
  <si>
    <t>MARTHA LIBIA PARRA GIL</t>
  </si>
  <si>
    <t>BURITICÁ</t>
  </si>
  <si>
    <t>JOSE LUIS RODRIGUEZ USUGA</t>
  </si>
  <si>
    <t>CAICEDO</t>
  </si>
  <si>
    <t>YUBER FELIPE MOLINA MURILLO</t>
  </si>
  <si>
    <t>CAÑASGORDAS</t>
  </si>
  <si>
    <t xml:space="preserve">DIEGO ALONSO VANEGAS ARANGO </t>
  </si>
  <si>
    <t>DABEIBA</t>
  </si>
  <si>
    <t>DANIEL HIGUITA HERRERA</t>
  </si>
  <si>
    <t>EBÉJICO</t>
  </si>
  <si>
    <t>DAVID ALONSO RESTREPO CASTRILLO</t>
  </si>
  <si>
    <t>FRONTINO</t>
  </si>
  <si>
    <t>LUZ GABRIELA RIVERA CANO</t>
  </si>
  <si>
    <t>GIRALDO</t>
  </si>
  <si>
    <t>MARIA CAMILA MANCO SUÁREZ</t>
  </si>
  <si>
    <t>HELICONIA</t>
  </si>
  <si>
    <t>JORGE ALEXANDER ALVAREZ  ARANGO</t>
  </si>
  <si>
    <t>OCCIDENTE</t>
  </si>
  <si>
    <t>LIBORINA</t>
  </si>
  <si>
    <t>NANCY AMPARO AVENDAÑO MORENO</t>
  </si>
  <si>
    <t>OLAYA</t>
  </si>
  <si>
    <t>JESUS DAVID HERNANDEZ  LONDOÑO</t>
  </si>
  <si>
    <t>PEQUE</t>
  </si>
  <si>
    <t>EMIRSON  DE JESUS HERNANDEZ HERNANDEZ</t>
  </si>
  <si>
    <t>SABANALARGA</t>
  </si>
  <si>
    <t>CESAR ALONSO CUADROS GEORGE</t>
  </si>
  <si>
    <t>SAN JERÓNIMO</t>
  </si>
  <si>
    <t xml:space="preserve">DONALDO FERNAN  VIVARES GALLEGO </t>
  </si>
  <si>
    <t>SANTA FE DE ANTIOQUIA</t>
  </si>
  <si>
    <t>YAMID CARVAJAL CARVAJAL</t>
  </si>
  <si>
    <t>SOPETRÁN</t>
  </si>
  <si>
    <t>TATIANA ALEXANDRA CARBALLO HOYOS</t>
  </si>
  <si>
    <t>URAMITA</t>
  </si>
  <si>
    <t>LEONARDO USUGA CORREA</t>
  </si>
  <si>
    <t>ABEJORRAL</t>
  </si>
  <si>
    <t>MANUEL ALBERTO GUZMAN MARIN</t>
  </si>
  <si>
    <t>ALEJANDRÍA</t>
  </si>
  <si>
    <t>GLORIA CECILIA NARANJO OSORIO</t>
  </si>
  <si>
    <t>ARGELIA</t>
  </si>
  <si>
    <t>DIEGO ALEXANDER LÓPEZ GIRALDO</t>
  </si>
  <si>
    <t>COCORNÁ</t>
  </si>
  <si>
    <t>DAVID ALEJANDRO GÓMEZ HOYOS</t>
  </si>
  <si>
    <t>CONCEPCIÓN</t>
  </si>
  <si>
    <t>ADRIAN HENAO CARVAJAL</t>
  </si>
  <si>
    <t>EL CARMEN DE VÍBORAL</t>
  </si>
  <si>
    <t>HUGO ALFONSO JIMENEZ CUERVO</t>
  </si>
  <si>
    <t>EL PEÑOL</t>
  </si>
  <si>
    <t>SANDRA ARELIS DUQUE VELASQUEZ</t>
  </si>
  <si>
    <t>EL RETIRO</t>
  </si>
  <si>
    <t>SANTIAGO MONTOYA GIRALDO</t>
  </si>
  <si>
    <t>EL SANTUARIO</t>
  </si>
  <si>
    <t>MARTIN ALBERTO DUQUE GALLO</t>
  </si>
  <si>
    <t>ORIENTE</t>
  </si>
  <si>
    <t>GRANADA</t>
  </si>
  <si>
    <t>DANIEL ANDRES HOYOS YEPES</t>
  </si>
  <si>
    <t>GUARNE</t>
  </si>
  <si>
    <t>DIEGO MAURICIO GRISALES GALLEGO</t>
  </si>
  <si>
    <t>GUATAPÉ</t>
  </si>
  <si>
    <t>DAVID ESTEBAN FRANCO GALLEGO</t>
  </si>
  <si>
    <t>LA CEJA</t>
  </si>
  <si>
    <t>MARIA IBELD SANTA SANTA</t>
  </si>
  <si>
    <t>LA UNIÓN</t>
  </si>
  <si>
    <t>CARMEN JUDITH  VALENCIA MORENO</t>
  </si>
  <si>
    <t>MARINILLA</t>
  </si>
  <si>
    <t>JULIO CESAR SERNA GÓMEZ</t>
  </si>
  <si>
    <t>NARIÑO</t>
  </si>
  <si>
    <t>ERIKA CARDONA PÉREZ</t>
  </si>
  <si>
    <t>RIONEGRO</t>
  </si>
  <si>
    <t>JORGE HUMBERTO RIVAS URREA</t>
  </si>
  <si>
    <t>SAN CARLOS</t>
  </si>
  <si>
    <t>SANTIAGO DAZA ESPINOSA</t>
  </si>
  <si>
    <t>SAN FRANCISCO</t>
  </si>
  <si>
    <t>ARTURO ALEXANDER ARIAS DUQUE</t>
  </si>
  <si>
    <t>SAN LUIS</t>
  </si>
  <si>
    <t>CESAR ABAD BUITRAGO ARIAS</t>
  </si>
  <si>
    <t>SAN RAFAEL</t>
  </si>
  <si>
    <t>EDUIN ANICETO  GIRALDO QUINTANA</t>
  </si>
  <si>
    <t>SAN VICENTE</t>
  </si>
  <si>
    <t>NELSON DE JESUS HENAO ZAPATA</t>
  </si>
  <si>
    <t>SONSÓN</t>
  </si>
  <si>
    <t>JUAN DIEGO ZULUAGA PULGARIN</t>
  </si>
  <si>
    <t>AMAGÁ</t>
  </si>
  <si>
    <t>WILSER DARIO MOLINA</t>
  </si>
  <si>
    <t>ANDES</t>
  </si>
  <si>
    <t>GERMAN ALEXANDER VELEZ OROZCO</t>
  </si>
  <si>
    <t>ANGELÓPOLIS</t>
  </si>
  <si>
    <t>JOSE LUIS MONTOYA QUICENO</t>
  </si>
  <si>
    <t>SUROESTE</t>
  </si>
  <si>
    <t>BETANIA</t>
  </si>
  <si>
    <t>DIEGO ARLEY DE JESUS GUERRA GUTIERREZ</t>
  </si>
  <si>
    <t>BETULIA</t>
  </si>
  <si>
    <t>NESTRO CAMILO SERNA HERNANDEZ</t>
  </si>
  <si>
    <t>CARAMANTA</t>
  </si>
  <si>
    <t>JUAN ESTEBAN CORREA CARDENAS</t>
  </si>
  <si>
    <t>CIUDAD BOLIVAR</t>
  </si>
  <si>
    <t>LEON DARIO ACEVEDO VARGAS</t>
  </si>
  <si>
    <t>CONCORDIA</t>
  </si>
  <si>
    <t xml:space="preserve">ALEXANDRA MARIA HERRERA QUIJANO </t>
  </si>
  <si>
    <t>FREDONIA</t>
  </si>
  <si>
    <t>ALDUBAR DE JESUS VANEGAS  MARIN</t>
  </si>
  <si>
    <t>HISPANIA</t>
  </si>
  <si>
    <t>ORLANDO ARTURO MARIN ATEHORTUA</t>
  </si>
  <si>
    <t>JARDÍN</t>
  </si>
  <si>
    <t>CLAUDIA YANETH NARANJO AGUDELO</t>
  </si>
  <si>
    <t>JERICÓ</t>
  </si>
  <si>
    <t>SEBASTIAN GARCES PIEDRAHITA</t>
  </si>
  <si>
    <t>LA PINTADA</t>
  </si>
  <si>
    <t>HERMAN ANTONIO CORREA BEDOYA</t>
  </si>
  <si>
    <t>MONTEBELLO</t>
  </si>
  <si>
    <t>OSCAR ERNESTO CUERVO VILLADA</t>
  </si>
  <si>
    <t>PUEBLORICO</t>
  </si>
  <si>
    <t>CRISTIAN CAMILO ZAPATA RAMIREZ</t>
  </si>
  <si>
    <t>SALGAR</t>
  </si>
  <si>
    <t>VICTOR RAUL MAYA CEBALLOS</t>
  </si>
  <si>
    <t>SANTA BÁRBARA</t>
  </si>
  <si>
    <t>JORGE MARIO QUINTA CAÑAVERAL</t>
  </si>
  <si>
    <t>TÁMESIS</t>
  </si>
  <si>
    <t>JUAN PABLO PÉREZ RAMÍREZ</t>
  </si>
  <si>
    <t>TARSO</t>
  </si>
  <si>
    <t>HUGO ALEXANDER OCAMPO RIOS</t>
  </si>
  <si>
    <t>TITIRIBÍ</t>
  </si>
  <si>
    <t xml:space="preserve">ALEX DAVID RESTREPO SALAZAR </t>
  </si>
  <si>
    <t>URRAO</t>
  </si>
  <si>
    <t>NILSON JAVIER BARRERA HOLGUIN</t>
  </si>
  <si>
    <t>VALPARAISO</t>
  </si>
  <si>
    <t>JOSE MARIO HERNANDEZ DEVIA</t>
  </si>
  <si>
    <t>VENECIA</t>
  </si>
  <si>
    <t>FERNEY DARIO FERNANDEZ</t>
  </si>
  <si>
    <t>APARTADÓ</t>
  </si>
  <si>
    <t>HECTOR RANGEL PALACIOS RODRIGUEZ</t>
  </si>
  <si>
    <t>ARBOLETES</t>
  </si>
  <si>
    <t>ALVARO GONZALEZ AVILA</t>
  </si>
  <si>
    <t>CAREPA</t>
  </si>
  <si>
    <t>AGAPITO MURILLO PALACIOS</t>
  </si>
  <si>
    <t>CHIGORODÓ</t>
  </si>
  <si>
    <t>TULIA IRENE RUIZ GARCIA</t>
  </si>
  <si>
    <t>URABÁ</t>
  </si>
  <si>
    <t>MURINDÓ</t>
  </si>
  <si>
    <t>EMPERATRIZ MENA PALACIOS</t>
  </si>
  <si>
    <t>MUTATÁ</t>
  </si>
  <si>
    <t>JAIRO ENRIQUE ORTIZ PALACIOS</t>
  </si>
  <si>
    <t>NECOCLÍ</t>
  </si>
  <si>
    <t>GUILLERMO JOSE CARDONA MORENO</t>
  </si>
  <si>
    <t>SAN JUAN DE URABÁ</t>
  </si>
  <si>
    <t xml:space="preserve">ANA JULIA </t>
  </si>
  <si>
    <t>SAN PEDRO DE URABÁ</t>
  </si>
  <si>
    <t>NEVER JACINTO CARVAJAL MIRANDA</t>
  </si>
  <si>
    <t>TURBO</t>
  </si>
  <si>
    <t>ALEJANDRO ABUCHAR GONZALEZ</t>
  </si>
  <si>
    <t>VIGIA DEL FUERTE</t>
  </si>
  <si>
    <t>JHOSELIN LOZANO MENA</t>
  </si>
  <si>
    <t>BARBOSA</t>
  </si>
  <si>
    <t>JUAN DAVID ROJAS AGUDELO</t>
  </si>
  <si>
    <t>BELLO</t>
  </si>
  <si>
    <t>YULIETH LORENA GONZÁLEZ OSPINA</t>
  </si>
  <si>
    <t>CALDAS</t>
  </si>
  <si>
    <t>JORGE MARIO RENDON VÉLEZ</t>
  </si>
  <si>
    <t>313 6605273</t>
  </si>
  <si>
    <t>COPACABANA</t>
  </si>
  <si>
    <t>JOHNNATAN ANDRES PINEDA AGUDELO</t>
  </si>
  <si>
    <t>AREA METROPOLITANA</t>
  </si>
  <si>
    <t>ENVIGADO</t>
  </si>
  <si>
    <t>RAUL EDUARDO CARDONA GONZÁLEZ</t>
  </si>
  <si>
    <t>GIRADOTA</t>
  </si>
  <si>
    <t>KEVIN RENE BERNAL MORALES</t>
  </si>
  <si>
    <t>ITAGUI</t>
  </si>
  <si>
    <t>DIEGO LEON TORRES SÁNCHEZ</t>
  </si>
  <si>
    <t>LA ESTRELLA</t>
  </si>
  <si>
    <t>CARLOS MARIO GUTIERREZ</t>
  </si>
  <si>
    <t>MEDELLÍN</t>
  </si>
  <si>
    <t>FEDERICO ANDRES GÚTOIERREZ ZULUAGA</t>
  </si>
  <si>
    <t>SABANETA</t>
  </si>
  <si>
    <t xml:space="preserve">ALDER JAMES CRUZ OCAMPO </t>
  </si>
  <si>
    <t>MUNICIPIOS</t>
  </si>
  <si>
    <t>NO</t>
  </si>
  <si>
    <t>Costo Permiso Vertimiento</t>
  </si>
  <si>
    <t>Período 7</t>
  </si>
  <si>
    <t xml:space="preserve"> 9 meses </t>
  </si>
  <si>
    <t>PRESUPUESTO OFICIAL
ESTUDIOS PREVIOS 
CONVENIO INTERADMINISTRATIVO 
 “Aunar esfuerzos con el municipio de  para cofinanciar el saneamiento hídrico rural en su territorio"
MODALIDAD DE SELECCIÓN - OBJETO 
Convenio interadministrativo</t>
  </si>
  <si>
    <t xml:space="preserve"> “Aunar esfuerzos con el municipio de  para cofinanciar el saneamiento hídrico rural en su territorio”</t>
  </si>
  <si>
    <t>MARTHA ISABEL LOPEZ CARVAJAL</t>
  </si>
  <si>
    <t xml:space="preserve">CHURIMBO </t>
  </si>
  <si>
    <t>NO APLICA</t>
  </si>
  <si>
    <t>SUELO</t>
  </si>
  <si>
    <t>IFAS ANTONIO LOPEZ LOPEZ</t>
  </si>
  <si>
    <t>CHURIMBO</t>
  </si>
  <si>
    <t>MARIA LOURDES ESTRADA DE ALCARAZ</t>
  </si>
  <si>
    <t>FLOR YAMILE LOPEZ LOPEZ</t>
  </si>
  <si>
    <t>ANA CELIA CARVAJAL</t>
  </si>
  <si>
    <t>JOSE HERIBERTO LOPEZ LOPEZ</t>
  </si>
  <si>
    <t>BENJAMIN CARVAJAL</t>
  </si>
  <si>
    <t>SOCORRO VARGAS</t>
  </si>
  <si>
    <t>BLANCA MERY LOPEZ</t>
  </si>
  <si>
    <t>MARIA CONCEPCION LOPEZ</t>
  </si>
  <si>
    <t xml:space="preserve">LUZ MARINA CARVAJAL </t>
  </si>
  <si>
    <t>TONUSCO ARRIBA</t>
  </si>
  <si>
    <t xml:space="preserve">DEYANIRA CARTAGENA SILVA </t>
  </si>
  <si>
    <t xml:space="preserve">ANDERSON VALDERRAMA </t>
  </si>
  <si>
    <t>ROQUE SANTANA</t>
  </si>
  <si>
    <t>COLORADAS</t>
  </si>
  <si>
    <t>LILIA ROSA ALCARAZ</t>
  </si>
  <si>
    <t>OTOÑIL RINCON</t>
  </si>
  <si>
    <t>ESCUELA COLORADAS</t>
  </si>
  <si>
    <t>JUAN CARLOS ALCARAZ</t>
  </si>
  <si>
    <t>GERARDO ALCARAZ</t>
  </si>
  <si>
    <t>ELIECER BENITEZ</t>
  </si>
  <si>
    <t>DIANA ALCARAZ</t>
  </si>
  <si>
    <t>YAIRIA CASTRILLON</t>
  </si>
  <si>
    <t>ORFA SERNA</t>
  </si>
  <si>
    <t>LILIANA LONDOÑO</t>
  </si>
  <si>
    <t xml:space="preserve">DIANA PIEDRAHITA </t>
  </si>
  <si>
    <t>JAIME ALONSO YEPEZ HIGUITA</t>
  </si>
  <si>
    <t>EL TUNAL</t>
  </si>
  <si>
    <t>LUZ ESTER OQUENDO URREGO</t>
  </si>
  <si>
    <t>MARIA CHINQUINQUIRA ESCOBRA BRAN</t>
  </si>
  <si>
    <t>LISARDO ANTONIO LOPEZ LOPEZ</t>
  </si>
  <si>
    <t xml:space="preserve">JORGILIO ESPINOSA TILANO </t>
  </si>
  <si>
    <t>TFATIMA</t>
  </si>
  <si>
    <t>x</t>
  </si>
  <si>
    <t>Excavación manual en material común y/o suelo rocoso hasta 4 m de profundidad, bajo cualquier grado de humedad</t>
  </si>
  <si>
    <t>adminitracion  esp</t>
  </si>
  <si>
    <t>valor total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</si>
</sst>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5" formatCode="&quot;$&quot;\ #,##0;\-&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quot;$&quot;\ #,##0_);\(&quot;$&quot;\ #,##0\)"/>
    <numFmt numFmtId="166" formatCode="_(* #,##0_);_(* \(#,##0\);_(* &quot;-&quot;_);_(@_)"/>
    <numFmt numFmtId="167" formatCode="_(&quot;$&quot;\ * #,##0.00_);_(&quot;$&quot;\ * \(#,##0.00\);_(&quot;$&quot;\ * &quot;-&quot;??_);_(@_)"/>
    <numFmt numFmtId="168" formatCode="_(* #,##0.00_);_(* \(#,##0.00\);_(* &quot;-&quot;??_);_(@_)"/>
    <numFmt numFmtId="169" formatCode="0.000"/>
    <numFmt numFmtId="170" formatCode="0.0"/>
    <numFmt numFmtId="171" formatCode="#,##0.0"/>
    <numFmt numFmtId="172" formatCode="0.0%"/>
    <numFmt numFmtId="173" formatCode="_([$$-240A]\ * #,##0.00_);_([$$-240A]\ * \(#,##0.00\);_([$$-240A]\ * &quot;-&quot;??_);_(@_)"/>
    <numFmt numFmtId="174" formatCode="_([$$-240A]\ * #,##0_);_([$$-240A]\ * \(#,##0\);_([$$-240A]\ * &quot;-&quot;??_);_(@_)"/>
    <numFmt numFmtId="175" formatCode="#,##0.000"/>
    <numFmt numFmtId="176" formatCode="[$$-240A]\ #,##0"/>
    <numFmt numFmtId="177" formatCode="#,##0.0000"/>
    <numFmt numFmtId="178" formatCode="&quot;$&quot;\ #,##0"/>
    <numFmt numFmtId="179" formatCode="&quot;$&quot;#,##0_);\(&quot;$&quot;#,##0\)"/>
    <numFmt numFmtId="180" formatCode="&quot;$&quot;#,##0"/>
    <numFmt numFmtId="181" formatCode="#."/>
    <numFmt numFmtId="182" formatCode="&quot;$&quot;#,##0\ ;\(&quot;$&quot;#,##0\)"/>
    <numFmt numFmtId="183" formatCode="_([$€]* #,##0.00_);_([$€]* \(#,##0.00\);_([$€]* &quot;-&quot;??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00"/>
    <numFmt numFmtId="196" formatCode="_-* #,##0\ _P_t_s_-;\-* #,##0\ _P_t_s_-;_-* &quot;-&quot;??\ _P_t_s_-;_-@_-"/>
    <numFmt numFmtId="197" formatCode="_-* #,##0.00\ _P_t_s_-;\-* #,##0.00\ _P_t_s_-;_-* &quot;-&quot;??\ _P_t_s_-;_-@_-"/>
    <numFmt numFmtId="198" formatCode="#.00"/>
    <numFmt numFmtId="199" formatCode="_(&quot;$&quot;* #,##0.00_);_(&quot;$&quot;* \(#,##0.00\);_(&quot;$&quot;* &quot;-&quot;??_);_(@_)"/>
    <numFmt numFmtId="200" formatCode="_(&quot;C$&quot;* #,##0.00_);_(&quot;C$&quot;* \(#,##0.00\);_(&quot;C$&quot;* &quot;-&quot;??_);_(@_)"/>
    <numFmt numFmtId="201" formatCode="\$#,#00"/>
    <numFmt numFmtId="202" formatCode="#,##0.000;\-#,##0.000"/>
    <numFmt numFmtId="203" formatCode="#.##000"/>
    <numFmt numFmtId="204" formatCode="\$#,##0.00\ ;\(\$#,##0.00\)"/>
    <numFmt numFmtId="205" formatCode="&quot;$&quot;\ #,##0.0"/>
    <numFmt numFmtId="206" formatCode="&quot;$&quot;\ #,##0.00"/>
    <numFmt numFmtId="207" formatCode="[$$-240A]\ #,##0.0"/>
    <numFmt numFmtId="208" formatCode="[$$-240A]\ #,##0.00"/>
    <numFmt numFmtId="209" formatCode="[$$-240A]#,##0.00"/>
    <numFmt numFmtId="210" formatCode="&quot;$&quot;#,##0.00"/>
    <numFmt numFmtId="211" formatCode="_(&quot;$&quot;\ * #,##0_);_(&quot;$&quot;\ * \(#,##0\);_(&quot;$&quot;\ * &quot;-&quot;??_);_(@_)"/>
    <numFmt numFmtId="212" formatCode="[$$-240A]\ #,##0.0000"/>
    <numFmt numFmtId="213" formatCode="_(&quot;$&quot;#,##0_);_(&quot;$&quot;*(#,##0\);_(&quot;$&quot;* &quot;-&quot;??_);_(@_)"/>
    <numFmt numFmtId="214" formatCode="_(&quot;$&quot;\ * #,##0.0_);_(&quot;$&quot;\ * \(#,##0.0\);_(&quot;$&quot;\ * &quot;-&quot;??_);_(@_)"/>
    <numFmt numFmtId="215" formatCode="_-&quot;$&quot;\ * #,##0_-;\-&quot;$&quot;\ * #,##0_-;_-&quot;$&quot;\ * &quot;-&quot;??_-;_-@_-"/>
    <numFmt numFmtId="216" formatCode="_-[$$-240A]\ * #,##0.00_-;\-[$$-240A]\ * #,##0.00_-;_-[$$-240A]\ * &quot;-&quot;??_-;_-@_-"/>
    <numFmt numFmtId="217" formatCode="&quot;$&quot;#,##0.00;\-&quot;$&quot;#,##0.00"/>
    <numFmt numFmtId="218" formatCode="_ [$€-2]\ * #,##0.00_ ;_ [$€-2]\ * \-#,##0.00_ ;_ [$€-2]\ * &quot;-&quot;??_ "/>
    <numFmt numFmtId="219" formatCode="_ * #,##0.00_ ;_ * \-#,##0.00_ ;_ * &quot;-&quot;??_ ;_ @_ "/>
  </numFmts>
  <fonts count="93">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Times New Roman"/>
      <family val="1"/>
    </font>
    <font>
      <sz val="10"/>
      <name val="Arial"/>
      <family val="2"/>
    </font>
    <font>
      <b/>
      <sz val="10"/>
      <name val="Arial"/>
      <family val="2"/>
    </font>
    <font>
      <sz val="8"/>
      <name val="Arial"/>
      <family val="2"/>
    </font>
    <font>
      <b/>
      <sz val="10"/>
      <color indexed="8"/>
      <name val="Arial"/>
      <family val="2"/>
    </font>
    <font>
      <sz val="8"/>
      <color indexed="8"/>
      <name val="Arial"/>
      <family val="2"/>
    </font>
    <font>
      <b/>
      <sz val="9"/>
      <color indexed="81"/>
      <name val="Tahoma"/>
      <family val="2"/>
    </font>
    <font>
      <sz val="9"/>
      <color indexed="81"/>
      <name val="Tahoma"/>
      <family val="2"/>
    </font>
    <font>
      <sz val="8"/>
      <color indexed="81"/>
      <name val="Tahoma"/>
      <family val="2"/>
    </font>
    <font>
      <b/>
      <sz val="8"/>
      <color indexed="8"/>
      <name val="Arial"/>
      <family val="2"/>
    </font>
    <font>
      <sz val="10"/>
      <name val="Times New Roman"/>
      <family val="1"/>
    </font>
    <font>
      <sz val="9"/>
      <name val="Arial"/>
      <family val="2"/>
    </font>
    <font>
      <b/>
      <sz val="9"/>
      <name val="Arial"/>
      <family val="2"/>
    </font>
    <font>
      <b/>
      <i/>
      <sz val="10"/>
      <name val="Arial"/>
      <family val="2"/>
    </font>
    <font>
      <sz val="10"/>
      <name val="MS Sans Serif"/>
      <family val="2"/>
    </font>
    <font>
      <b/>
      <sz val="8"/>
      <color indexed="81"/>
      <name val="Tahoma"/>
      <family val="2"/>
    </font>
    <font>
      <b/>
      <sz val="10"/>
      <color indexed="81"/>
      <name val="Tahoma"/>
      <family val="2"/>
    </font>
    <font>
      <b/>
      <sz val="11"/>
      <name val="Arial"/>
      <family val="2"/>
    </font>
    <font>
      <sz val="11"/>
      <name val="Arial"/>
      <family val="2"/>
    </font>
    <font>
      <sz val="10"/>
      <color indexed="10"/>
      <name val="Arial"/>
      <family val="2"/>
    </font>
    <font>
      <vertAlign val="superscript"/>
      <sz val="11"/>
      <color indexed="8"/>
      <name val="Arial"/>
      <family val="2"/>
    </font>
    <font>
      <b/>
      <vertAlign val="superscript"/>
      <sz val="10"/>
      <name val="Arial"/>
      <family val="2"/>
    </font>
    <font>
      <b/>
      <sz val="10"/>
      <color indexed="9"/>
      <name val="Arial"/>
      <family val="2"/>
    </font>
    <font>
      <sz val="10"/>
      <color indexed="9"/>
      <name val="Arial"/>
      <family val="2"/>
    </font>
    <font>
      <b/>
      <sz val="1"/>
      <color indexed="8"/>
      <name val="Courier"/>
      <family val="3"/>
    </font>
    <font>
      <sz val="1"/>
      <color indexed="16"/>
      <name val="Courier"/>
      <family val="3"/>
    </font>
    <font>
      <sz val="10"/>
      <color indexed="24"/>
      <name val="Arial"/>
      <family val="2"/>
    </font>
    <font>
      <sz val="9"/>
      <color indexed="8"/>
      <name val="Arial"/>
      <family val="2"/>
    </font>
    <font>
      <sz val="1"/>
      <color indexed="8"/>
      <name val="Courier"/>
      <family val="3"/>
    </font>
    <font>
      <b/>
      <sz val="10"/>
      <color indexed="24"/>
      <name val="Arial"/>
      <family val="2"/>
    </font>
    <font>
      <sz val="8"/>
      <color indexed="24"/>
      <name val="Arial"/>
      <family val="2"/>
    </font>
    <font>
      <b/>
      <sz val="1"/>
      <color indexed="16"/>
      <name val="Courier"/>
      <family val="3"/>
    </font>
    <font>
      <u/>
      <sz val="10"/>
      <color indexed="12"/>
      <name val="Arial"/>
      <family val="2"/>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u/>
      <sz val="7.5"/>
      <color indexed="12"/>
      <name val="Arial"/>
      <family val="2"/>
    </font>
    <font>
      <sz val="10"/>
      <name val="Arial"/>
      <family val="2"/>
    </font>
    <font>
      <sz val="14"/>
      <name val="Arial"/>
      <family val="2"/>
    </font>
    <font>
      <b/>
      <sz val="11"/>
      <name val="Helv"/>
    </font>
    <font>
      <sz val="8"/>
      <name val="Helv"/>
    </font>
    <font>
      <sz val="10"/>
      <name val="Helv"/>
    </font>
    <font>
      <b/>
      <sz val="9"/>
      <name val="Helv"/>
    </font>
    <font>
      <b/>
      <sz val="8"/>
      <name val="Helv"/>
    </font>
    <font>
      <b/>
      <sz val="10"/>
      <name val="Helv"/>
    </font>
    <font>
      <b/>
      <sz val="12"/>
      <name val="Helv"/>
    </font>
    <font>
      <b/>
      <sz val="9"/>
      <color indexed="8"/>
      <name val="Arial"/>
      <family val="2"/>
    </font>
    <font>
      <sz val="11"/>
      <color theme="1"/>
      <name val="Calibri"/>
      <family val="2"/>
      <scheme val="minor"/>
    </font>
    <font>
      <b/>
      <sz val="10"/>
      <color theme="1"/>
      <name val="Arial"/>
      <family val="2"/>
    </font>
    <font>
      <sz val="8"/>
      <color rgb="FF000000"/>
      <name val="Arial"/>
      <family val="2"/>
    </font>
    <font>
      <sz val="10"/>
      <color theme="1"/>
      <name val="Arial"/>
      <family val="2"/>
    </font>
    <font>
      <b/>
      <sz val="10"/>
      <color rgb="FFFF0000"/>
      <name val="Arial"/>
      <family val="2"/>
    </font>
    <font>
      <sz val="10"/>
      <color rgb="FFFF0000"/>
      <name val="Arial"/>
      <family val="2"/>
    </font>
    <font>
      <b/>
      <sz val="10"/>
      <color theme="3" tint="-0.249977111117893"/>
      <name val="Arial"/>
      <family val="2"/>
    </font>
    <font>
      <sz val="11"/>
      <color theme="1"/>
      <name val="Arial"/>
      <family val="2"/>
    </font>
    <font>
      <b/>
      <sz val="11"/>
      <color theme="1"/>
      <name val="Arial"/>
      <family val="2"/>
    </font>
    <font>
      <sz val="11"/>
      <color rgb="FFFF0000"/>
      <name val="Arial"/>
      <family val="2"/>
    </font>
    <font>
      <b/>
      <sz val="12"/>
      <color theme="1"/>
      <name val="Arial"/>
      <family val="2"/>
    </font>
    <font>
      <b/>
      <sz val="11"/>
      <color rgb="FF000000"/>
      <name val="Calibri"/>
      <family val="2"/>
    </font>
    <font>
      <sz val="11"/>
      <color rgb="FF000000"/>
      <name val="Calibri"/>
      <family val="2"/>
    </font>
    <font>
      <sz val="10"/>
      <color rgb="FFFFFF00"/>
      <name val="Arial"/>
      <family val="2"/>
    </font>
    <font>
      <sz val="9"/>
      <color rgb="FF000000"/>
      <name val="Arial"/>
      <family val="2"/>
    </font>
    <font>
      <sz val="10"/>
      <color theme="0"/>
      <name val="Arial"/>
      <family val="2"/>
    </font>
    <font>
      <b/>
      <sz val="9"/>
      <color rgb="FF000000"/>
      <name val="Arial"/>
      <family val="2"/>
    </font>
    <font>
      <b/>
      <sz val="9"/>
      <color theme="1"/>
      <name val="Arial"/>
      <family val="2"/>
    </font>
    <font>
      <sz val="12"/>
      <color theme="1"/>
      <name val="Arial"/>
      <family val="2"/>
    </font>
    <font>
      <u/>
      <sz val="10"/>
      <color theme="10"/>
      <name val="Times New Roman"/>
      <family val="1"/>
    </font>
    <font>
      <b/>
      <sz val="8"/>
      <name val="Arial"/>
      <family val="2"/>
    </font>
    <font>
      <sz val="8"/>
      <name val="Times New Roman"/>
      <family val="1"/>
    </font>
    <font>
      <b/>
      <sz val="9"/>
      <color theme="1"/>
      <name val="Calibri"/>
      <family val="2"/>
      <scheme val="minor"/>
    </font>
    <font>
      <b/>
      <sz val="10"/>
      <color theme="1"/>
      <name val="Calibri"/>
      <family val="2"/>
      <scheme val="minor"/>
    </font>
    <font>
      <sz val="11"/>
      <name val="Calibri"/>
      <family val="2"/>
    </font>
    <font>
      <b/>
      <sz val="14"/>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sz val="10"/>
      <color rgb="FF000000"/>
      <name val="Arial Unicode MS"/>
      <family val="2"/>
    </font>
    <font>
      <b/>
      <i/>
      <sz val="14"/>
      <color theme="1"/>
      <name val="Calibri"/>
      <family val="2"/>
      <scheme val="minor"/>
    </font>
    <font>
      <sz val="11"/>
      <name val="Calibri"/>
      <family val="2"/>
      <scheme val="minor"/>
    </font>
    <font>
      <b/>
      <i/>
      <sz val="14"/>
      <name val="Calibri"/>
      <family val="2"/>
      <scheme val="minor"/>
    </font>
    <font>
      <sz val="10"/>
      <name val="Calibri"/>
      <family val="2"/>
      <scheme val="minor"/>
    </font>
    <font>
      <b/>
      <sz val="11"/>
      <name val="Calibri"/>
      <family val="2"/>
      <scheme val="minor"/>
    </font>
    <font>
      <sz val="12"/>
      <name val="Calibri"/>
      <family val="2"/>
      <scheme val="minor"/>
    </font>
    <font>
      <b/>
      <sz val="12"/>
      <name val="Calibri"/>
      <family val="2"/>
      <scheme val="minor"/>
    </font>
  </fonts>
  <fills count="45">
    <fill>
      <patternFill patternType="none"/>
    </fill>
    <fill>
      <patternFill patternType="gray125"/>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7"/>
        <bgColor indexed="64"/>
      </patternFill>
    </fill>
    <fill>
      <patternFill patternType="solid">
        <fgColor indexed="27"/>
        <bgColor indexed="64"/>
      </patternFill>
    </fill>
    <fill>
      <patternFill patternType="solid">
        <fgColor indexed="52"/>
        <bgColor indexed="64"/>
      </patternFill>
    </fill>
    <fill>
      <patternFill patternType="solid">
        <fgColor indexed="41"/>
        <bgColor indexed="64"/>
      </patternFill>
    </fill>
    <fill>
      <patternFill patternType="solid">
        <fgColor indexed="50"/>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FF"/>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0"/>
        <bgColor theme="8" tint="0.79998168889431442"/>
      </patternFill>
    </fill>
  </fills>
  <borders count="9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double">
        <color indexed="64"/>
      </bottom>
      <diagonal/>
    </border>
    <border>
      <left/>
      <right style="double">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hair">
        <color indexed="64"/>
      </top>
      <bottom style="hair">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indexed="64"/>
      </left>
      <right style="medium">
        <color indexed="64"/>
      </right>
      <top style="medium">
        <color indexed="64"/>
      </top>
      <bottom/>
      <diagonal/>
    </border>
    <border>
      <left style="medium">
        <color rgb="FFCCCCCC"/>
      </left>
      <right style="medium">
        <color rgb="FF000000"/>
      </right>
      <top/>
      <bottom style="medium">
        <color indexed="64"/>
      </bottom>
      <diagonal/>
    </border>
    <border>
      <left style="medium">
        <color rgb="FFCCCCCC"/>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theme="8" tint="0.39997558519241921"/>
      </right>
      <top style="thin">
        <color theme="8" tint="0.39997558519241921"/>
      </top>
      <bottom style="thin">
        <color theme="8" tint="0.39997558519241921"/>
      </bottom>
      <diagonal/>
    </border>
    <border>
      <left style="thin">
        <color indexed="64"/>
      </left>
      <right style="thin">
        <color indexed="64"/>
      </right>
      <top style="thin">
        <color theme="8" tint="0.39997558519241921"/>
      </top>
      <bottom style="thin">
        <color theme="8" tint="0.39997558519241921"/>
      </bottom>
      <diagonal/>
    </border>
  </borders>
  <cellStyleXfs count="162">
    <xf numFmtId="0" fontId="0" fillId="0" borderId="0"/>
    <xf numFmtId="0" fontId="22" fillId="0" borderId="0"/>
    <xf numFmtId="0" fontId="32" fillId="0" borderId="0">
      <protection locked="0"/>
    </xf>
    <xf numFmtId="0" fontId="32" fillId="0" borderId="0">
      <protection locked="0"/>
    </xf>
    <xf numFmtId="168" fontId="6" fillId="0" borderId="0" applyFont="0" applyFill="0" applyBorder="0" applyAlignment="0" applyProtection="0"/>
    <xf numFmtId="43" fontId="6"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81" fontId="33" fillId="0" borderId="0">
      <protection locked="0"/>
    </xf>
    <xf numFmtId="3" fontId="34" fillId="0" borderId="0" applyFont="0" applyFill="0" applyBorder="0" applyAlignment="0" applyProtection="0"/>
    <xf numFmtId="181" fontId="33" fillId="0" borderId="0">
      <protection locked="0"/>
    </xf>
    <xf numFmtId="182" fontId="34" fillId="0" borderId="0" applyFont="0" applyFill="0" applyBorder="0" applyAlignment="0" applyProtection="0"/>
    <xf numFmtId="0" fontId="34" fillId="0" borderId="0" applyFont="0" applyFill="0" applyBorder="0" applyAlignment="0" applyProtection="0"/>
    <xf numFmtId="0" fontId="9" fillId="0" borderId="0"/>
    <xf numFmtId="183" fontId="9" fillId="0" borderId="0" applyFont="0" applyFill="0" applyBorder="0" applyAlignment="0" applyProtection="0"/>
    <xf numFmtId="184" fontId="35" fillId="0" borderId="1" applyFont="0" applyFill="0" applyBorder="0" applyProtection="0"/>
    <xf numFmtId="185" fontId="35" fillId="0" borderId="2" applyFont="0" applyFill="0" applyBorder="0" applyProtection="0"/>
    <xf numFmtId="186" fontId="35" fillId="0" borderId="2" applyFont="0" applyFill="0" applyBorder="0" applyProtection="0"/>
    <xf numFmtId="187" fontId="35" fillId="0" borderId="2" applyFont="0" applyFill="0" applyBorder="0" applyProtection="0"/>
    <xf numFmtId="188" fontId="35" fillId="0" borderId="2" applyFont="0" applyFill="0" applyBorder="0" applyProtection="0"/>
    <xf numFmtId="189" fontId="35" fillId="0" borderId="1" applyFont="0" applyFill="0" applyBorder="0" applyProtection="0"/>
    <xf numFmtId="190" fontId="19" fillId="0" borderId="3" applyFont="0" applyFill="0" applyBorder="0" applyProtection="0"/>
    <xf numFmtId="191" fontId="9" fillId="0" borderId="0" applyFont="0" applyFill="0" applyBorder="0" applyProtection="0"/>
    <xf numFmtId="192" fontId="9" fillId="0" borderId="0" applyFont="0" applyFill="0" applyBorder="0" applyProtection="0"/>
    <xf numFmtId="193" fontId="35" fillId="0" borderId="4" applyFont="0" applyFill="0" applyBorder="0" applyProtection="0"/>
    <xf numFmtId="194" fontId="35" fillId="0" borderId="4" applyFont="0" applyFill="0" applyBorder="0" applyProtection="0"/>
    <xf numFmtId="0" fontId="36" fillId="0" borderId="0">
      <protection locked="0"/>
    </xf>
    <xf numFmtId="195" fontId="36" fillId="0" borderId="0">
      <protection locked="0"/>
    </xf>
    <xf numFmtId="2" fontId="34" fillId="0" borderId="0" applyFon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181" fontId="39" fillId="0" borderId="0">
      <protection locked="0"/>
    </xf>
    <xf numFmtId="181" fontId="39" fillId="0" borderId="0">
      <protection locked="0"/>
    </xf>
    <xf numFmtId="0" fontId="40"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43" fontId="8" fillId="0" borderId="0" applyFont="0" applyFill="0" applyBorder="0" applyAlignment="0" applyProtection="0"/>
    <xf numFmtId="166" fontId="9" fillId="0" borderId="0" applyFont="0" applyFill="0" applyBorder="0" applyAlignment="0" applyProtection="0"/>
    <xf numFmtId="41" fontId="9" fillId="0" borderId="0" applyFont="0" applyFill="0" applyBorder="0" applyAlignment="0" applyProtection="0"/>
    <xf numFmtId="196" fontId="9" fillId="0" borderId="0" applyFont="0" applyFill="0" applyBorder="0" applyAlignment="0" applyProtection="0"/>
    <xf numFmtId="168" fontId="7"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68" fontId="7" fillId="0" borderId="0" applyFont="0" applyFill="0" applyBorder="0" applyAlignment="0" applyProtection="0"/>
    <xf numFmtId="197" fontId="9"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168" fontId="6" fillId="0" borderId="0" applyFont="0" applyFill="0" applyBorder="0" applyAlignment="0" applyProtection="0"/>
    <xf numFmtId="175" fontId="9" fillId="0" borderId="0" applyFont="0" applyFill="0" applyBorder="0" applyAlignment="0" applyProtection="0"/>
    <xf numFmtId="44" fontId="9" fillId="0" borderId="0" applyFont="0" applyFill="0" applyBorder="0" applyAlignment="0" applyProtection="0"/>
    <xf numFmtId="168" fontId="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7" fontId="18" fillId="0" borderId="0" applyFont="0" applyFill="0" applyBorder="0" applyAlignment="0" applyProtection="0"/>
    <xf numFmtId="42" fontId="8" fillId="0" borderId="0" applyFont="0" applyFill="0" applyBorder="0" applyAlignment="0" applyProtection="0"/>
    <xf numFmtId="167" fontId="9" fillId="0" borderId="0" applyFont="0" applyFill="0" applyBorder="0" applyAlignment="0" applyProtection="0"/>
    <xf numFmtId="199" fontId="9" fillId="0" borderId="0" applyFont="0" applyFill="0" applyBorder="0" applyAlignment="0" applyProtection="0"/>
    <xf numFmtId="164" fontId="9" fillId="0" borderId="0" applyFont="0" applyFill="0" applyBorder="0" applyAlignment="0" applyProtection="0"/>
    <xf numFmtId="200" fontId="9" fillId="0" borderId="0" applyFont="0" applyFill="0" applyBorder="0" applyAlignment="0" applyProtection="0"/>
    <xf numFmtId="167" fontId="6" fillId="0" borderId="0" applyFont="0" applyFill="0" applyBorder="0" applyAlignment="0" applyProtection="0"/>
    <xf numFmtId="164" fontId="9" fillId="0" borderId="0" applyFont="0" applyFill="0" applyBorder="0" applyAlignment="0" applyProtection="0"/>
    <xf numFmtId="167" fontId="8" fillId="0" borderId="0" applyFont="0" applyFill="0" applyBorder="0" applyAlignment="0" applyProtection="0"/>
    <xf numFmtId="201" fontId="36" fillId="0" borderId="0">
      <protection locked="0"/>
    </xf>
    <xf numFmtId="202" fontId="9" fillId="0" borderId="0">
      <protection locked="0"/>
    </xf>
    <xf numFmtId="0" fontId="46" fillId="0" borderId="0"/>
    <xf numFmtId="0" fontId="9" fillId="0" borderId="0"/>
    <xf numFmtId="0" fontId="9" fillId="0" borderId="0"/>
    <xf numFmtId="0" fontId="9" fillId="0" borderId="0"/>
    <xf numFmtId="0" fontId="8"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9" fillId="0" borderId="0"/>
    <xf numFmtId="0" fontId="9" fillId="0" borderId="0"/>
    <xf numFmtId="0" fontId="9" fillId="0" borderId="0"/>
    <xf numFmtId="0" fontId="8" fillId="0" borderId="0"/>
    <xf numFmtId="0" fontId="22" fillId="0" borderId="0"/>
    <xf numFmtId="0" fontId="9" fillId="0" borderId="0"/>
    <xf numFmtId="0" fontId="9" fillId="0" borderId="0"/>
    <xf numFmtId="0" fontId="56" fillId="0" borderId="0"/>
    <xf numFmtId="0" fontId="9" fillId="0" borderId="0"/>
    <xf numFmtId="0" fontId="8"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22" fillId="0" borderId="0"/>
    <xf numFmtId="0" fontId="9" fillId="0" borderId="0"/>
    <xf numFmtId="5" fontId="9" fillId="0" borderId="0"/>
    <xf numFmtId="0" fontId="9" fillId="0" borderId="0"/>
    <xf numFmtId="5" fontId="9" fillId="0" borderId="0"/>
    <xf numFmtId="181" fontId="33" fillId="0" borderId="0">
      <protection locked="0"/>
    </xf>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203" fontId="36" fillId="0" borderId="0">
      <protection locked="0"/>
    </xf>
    <xf numFmtId="5" fontId="41" fillId="0" borderId="0">
      <protection locked="0"/>
    </xf>
    <xf numFmtId="0" fontId="27" fillId="0" borderId="0">
      <alignment vertical="top"/>
    </xf>
    <xf numFmtId="39" fontId="11" fillId="0" borderId="5" applyFill="0">
      <alignment horizontal="left"/>
    </xf>
    <xf numFmtId="0" fontId="9" fillId="0" borderId="0" applyNumberFormat="0"/>
    <xf numFmtId="0" fontId="42" fillId="0" borderId="0" applyProtection="0"/>
    <xf numFmtId="204" fontId="42" fillId="0" borderId="0" applyProtection="0"/>
    <xf numFmtId="0" fontId="43" fillId="0" borderId="0" applyProtection="0"/>
    <xf numFmtId="0" fontId="44" fillId="0" borderId="0" applyProtection="0"/>
    <xf numFmtId="0" fontId="42" fillId="0" borderId="6" applyProtection="0"/>
    <xf numFmtId="0" fontId="42" fillId="0" borderId="0"/>
    <xf numFmtId="10" fontId="42" fillId="0" borderId="0" applyProtection="0"/>
    <xf numFmtId="0" fontId="42" fillId="0" borderId="0"/>
    <xf numFmtId="2" fontId="42" fillId="0" borderId="0" applyProtection="0"/>
    <xf numFmtId="4" fontId="42" fillId="0" borderId="0" applyProtection="0"/>
    <xf numFmtId="0" fontId="5" fillId="0" borderId="0"/>
    <xf numFmtId="9" fontId="5" fillId="0" borderId="0" applyFont="0" applyFill="0" applyBorder="0" applyAlignment="0" applyProtection="0"/>
    <xf numFmtId="0" fontId="75" fillId="0" borderId="0" applyNumberForma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2" fillId="0" borderId="0"/>
    <xf numFmtId="0" fontId="9" fillId="0" borderId="0"/>
    <xf numFmtId="0" fontId="1" fillId="0" borderId="0"/>
    <xf numFmtId="218" fontId="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9" fillId="0" borderId="0" applyFont="0" applyFill="0" applyBorder="0" applyAlignment="0" applyProtection="0"/>
    <xf numFmtId="219" fontId="9" fillId="0" borderId="0" applyFont="0" applyFill="0" applyBorder="0" applyAlignment="0" applyProtection="0"/>
    <xf numFmtId="217" fontId="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22" fillId="0" borderId="0"/>
    <xf numFmtId="0" fontId="22" fillId="0" borderId="0"/>
    <xf numFmtId="9" fontId="1"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cellStyleXfs>
  <cellXfs count="1350">
    <xf numFmtId="0" fontId="0" fillId="0" borderId="0" xfId="0"/>
    <xf numFmtId="0" fontId="9"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horizontal="center" wrapText="1"/>
      <protection hidden="1"/>
    </xf>
    <xf numFmtId="0" fontId="57" fillId="0" borderId="27" xfId="0" applyFont="1" applyBorder="1" applyAlignment="1" applyProtection="1">
      <alignment horizontal="center" vertical="center" wrapText="1"/>
      <protection hidden="1"/>
    </xf>
    <xf numFmtId="0" fontId="57" fillId="0" borderId="28" xfId="0" applyFont="1" applyBorder="1" applyAlignment="1" applyProtection="1">
      <alignment horizontal="center" vertical="center" wrapText="1"/>
      <protection hidden="1"/>
    </xf>
    <xf numFmtId="0" fontId="13" fillId="0" borderId="18" xfId="0" applyFont="1" applyBorder="1" applyAlignment="1" applyProtection="1">
      <alignment horizontal="left" vertical="center" wrapText="1"/>
      <protection hidden="1"/>
    </xf>
    <xf numFmtId="0" fontId="9" fillId="0" borderId="0" xfId="0" applyFont="1" applyAlignment="1" applyProtection="1">
      <alignment horizontal="center"/>
      <protection hidden="1"/>
    </xf>
    <xf numFmtId="9" fontId="13" fillId="0" borderId="7" xfId="104" applyFont="1" applyFill="1" applyBorder="1" applyAlignment="1" applyProtection="1">
      <alignment horizontal="center" vertical="center" wrapText="1"/>
      <protection hidden="1"/>
    </xf>
    <xf numFmtId="0" fontId="13" fillId="0" borderId="7" xfId="0" applyFont="1" applyBorder="1" applyAlignment="1" applyProtection="1">
      <alignment horizontal="center" vertical="center" wrapText="1"/>
      <protection hidden="1"/>
    </xf>
    <xf numFmtId="3" fontId="58" fillId="0" borderId="7" xfId="0" applyNumberFormat="1" applyFont="1" applyBorder="1" applyAlignment="1" applyProtection="1">
      <alignment horizontal="center" vertical="center"/>
      <protection hidden="1"/>
    </xf>
    <xf numFmtId="173" fontId="13" fillId="0" borderId="7" xfId="0" applyNumberFormat="1" applyFont="1" applyBorder="1" applyAlignment="1" applyProtection="1">
      <alignment horizontal="center" vertical="center" wrapText="1"/>
      <protection hidden="1"/>
    </xf>
    <xf numFmtId="4" fontId="13" fillId="0" borderId="7" xfId="0" applyNumberFormat="1" applyFont="1" applyBorder="1" applyAlignment="1" applyProtection="1">
      <alignment horizontal="center" vertical="center" wrapText="1"/>
      <protection hidden="1"/>
    </xf>
    <xf numFmtId="174" fontId="13" fillId="0" borderId="20" xfId="62" applyNumberFormat="1" applyFont="1" applyFill="1" applyBorder="1" applyAlignment="1" applyProtection="1">
      <alignment horizontal="right" vertical="center" wrapText="1"/>
      <protection hidden="1"/>
    </xf>
    <xf numFmtId="0" fontId="13" fillId="0" borderId="30" xfId="0" applyFont="1" applyBorder="1" applyAlignment="1" applyProtection="1">
      <alignment horizontal="left" vertical="center" wrapText="1"/>
      <protection hidden="1"/>
    </xf>
    <xf numFmtId="0" fontId="13" fillId="0" borderId="21" xfId="0" applyFont="1" applyBorder="1" applyAlignment="1" applyProtection="1">
      <alignment horizontal="center" vertical="center" wrapText="1"/>
      <protection hidden="1"/>
    </xf>
    <xf numFmtId="9" fontId="13" fillId="0" borderId="21" xfId="104" applyFont="1" applyFill="1" applyBorder="1" applyAlignment="1" applyProtection="1">
      <alignment horizontal="center" vertical="center" wrapText="1"/>
      <protection hidden="1"/>
    </xf>
    <xf numFmtId="173" fontId="13" fillId="0" borderId="21" xfId="0" applyNumberFormat="1" applyFont="1" applyBorder="1" applyAlignment="1" applyProtection="1">
      <alignment horizontal="center" vertical="center" wrapText="1"/>
      <protection hidden="1"/>
    </xf>
    <xf numFmtId="174" fontId="17" fillId="0" borderId="15" xfId="62" applyNumberFormat="1" applyFont="1" applyFill="1" applyBorder="1" applyAlignment="1" applyProtection="1">
      <alignment horizontal="right" vertical="center" wrapText="1"/>
      <protection hidden="1"/>
    </xf>
    <xf numFmtId="0" fontId="58" fillId="0" borderId="30" xfId="0" applyFont="1" applyBorder="1" applyAlignment="1" applyProtection="1">
      <alignment horizontal="left" wrapText="1"/>
      <protection hidden="1"/>
    </xf>
    <xf numFmtId="0" fontId="13" fillId="0" borderId="7" xfId="0" applyFont="1" applyBorder="1" applyAlignment="1" applyProtection="1">
      <alignment horizontal="center" vertical="center"/>
      <protection hidden="1"/>
    </xf>
    <xf numFmtId="9" fontId="13" fillId="0" borderId="7" xfId="104" applyFont="1" applyFill="1" applyBorder="1" applyAlignment="1" applyProtection="1">
      <alignment horizontal="center" vertical="center"/>
      <protection hidden="1"/>
    </xf>
    <xf numFmtId="3" fontId="58" fillId="0" borderId="21" xfId="0" applyNumberFormat="1" applyFont="1" applyBorder="1" applyAlignment="1" applyProtection="1">
      <alignment horizontal="center"/>
      <protection hidden="1"/>
    </xf>
    <xf numFmtId="174" fontId="13" fillId="0" borderId="21" xfId="0" applyNumberFormat="1" applyFont="1" applyBorder="1" applyAlignment="1" applyProtection="1">
      <alignment horizontal="center" vertical="center" wrapText="1"/>
      <protection hidden="1"/>
    </xf>
    <xf numFmtId="0" fontId="13" fillId="0" borderId="21" xfId="0" applyFont="1" applyBorder="1" applyAlignment="1" applyProtection="1">
      <alignment horizontal="center" vertical="center"/>
      <protection hidden="1"/>
    </xf>
    <xf numFmtId="9" fontId="13" fillId="0" borderId="21" xfId="104" applyFont="1" applyFill="1" applyBorder="1" applyAlignment="1" applyProtection="1">
      <alignment horizontal="center" vertical="center"/>
      <protection hidden="1"/>
    </xf>
    <xf numFmtId="0" fontId="12" fillId="0" borderId="31" xfId="0" applyFont="1" applyBorder="1" applyAlignment="1" applyProtection="1">
      <alignment vertical="center"/>
      <protection hidden="1"/>
    </xf>
    <xf numFmtId="0" fontId="12" fillId="0" borderId="32" xfId="0" applyFont="1" applyBorder="1" applyAlignment="1" applyProtection="1">
      <alignment vertical="center"/>
      <protection hidden="1"/>
    </xf>
    <xf numFmtId="0" fontId="9" fillId="0" borderId="32" xfId="0" applyFont="1" applyBorder="1" applyAlignment="1" applyProtection="1">
      <alignment vertical="center"/>
      <protection hidden="1"/>
    </xf>
    <xf numFmtId="1" fontId="9" fillId="0" borderId="32" xfId="0" applyNumberFormat="1" applyFont="1" applyBorder="1" applyAlignment="1" applyProtection="1">
      <alignment vertical="center"/>
      <protection hidden="1"/>
    </xf>
    <xf numFmtId="0" fontId="9" fillId="0" borderId="33" xfId="0" applyFont="1" applyBorder="1" applyAlignment="1" applyProtection="1">
      <alignment vertical="center"/>
      <protection hidden="1"/>
    </xf>
    <xf numFmtId="174" fontId="55" fillId="0" borderId="34" xfId="62" applyNumberFormat="1" applyFont="1" applyFill="1" applyBorder="1" applyAlignment="1" applyProtection="1">
      <alignment horizontal="right" vertical="center" wrapText="1"/>
      <protection hidden="1"/>
    </xf>
    <xf numFmtId="174" fontId="12" fillId="0" borderId="15" xfId="62" applyNumberFormat="1" applyFont="1" applyFill="1" applyBorder="1" applyAlignment="1" applyProtection="1">
      <alignment horizontal="right" vertical="center" wrapText="1"/>
      <protection hidden="1"/>
    </xf>
    <xf numFmtId="0" fontId="12" fillId="0" borderId="0" xfId="0" applyFont="1" applyAlignment="1" applyProtection="1">
      <alignment horizontal="right" vertical="center"/>
      <protection hidden="1"/>
    </xf>
    <xf numFmtId="0" fontId="9" fillId="0" borderId="0" xfId="0" applyFont="1" applyAlignment="1" applyProtection="1">
      <alignment horizontal="right" vertical="center"/>
      <protection hidden="1"/>
    </xf>
    <xf numFmtId="3" fontId="12" fillId="0" borderId="0" xfId="0" applyNumberFormat="1" applyFont="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protection hidden="1"/>
    </xf>
    <xf numFmtId="174" fontId="19" fillId="0" borderId="7" xfId="0" applyNumberFormat="1" applyFont="1" applyBorder="1" applyAlignment="1" applyProtection="1">
      <alignment vertical="center"/>
      <protection hidden="1"/>
    </xf>
    <xf numFmtId="174" fontId="9" fillId="0" borderId="0" xfId="0" applyNumberFormat="1" applyFont="1" applyProtection="1">
      <protection hidden="1"/>
    </xf>
    <xf numFmtId="171" fontId="19" fillId="0" borderId="7" xfId="0" applyNumberFormat="1" applyFont="1" applyBorder="1" applyAlignment="1" applyProtection="1">
      <alignment horizontal="center" vertical="center"/>
      <protection hidden="1"/>
    </xf>
    <xf numFmtId="173" fontId="35" fillId="0" borderId="7" xfId="35" applyNumberFormat="1" applyFont="1" applyFill="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9" fillId="0" borderId="0" xfId="0" applyFont="1" applyAlignment="1" applyProtection="1">
      <alignment vertical="center"/>
      <protection hidden="1"/>
    </xf>
    <xf numFmtId="173" fontId="9" fillId="0" borderId="7" xfId="0" applyNumberFormat="1" applyFont="1" applyBorder="1" applyAlignment="1" applyProtection="1">
      <alignment vertical="center"/>
      <protection hidden="1"/>
    </xf>
    <xf numFmtId="165" fontId="9" fillId="0" borderId="0" xfId="0" applyNumberFormat="1" applyFont="1" applyAlignment="1" applyProtection="1">
      <alignment vertical="center"/>
      <protection hidden="1"/>
    </xf>
    <xf numFmtId="176" fontId="10" fillId="0" borderId="7" xfId="62" applyNumberFormat="1" applyFont="1" applyFill="1" applyBorder="1" applyAlignment="1" applyProtection="1">
      <alignment vertical="center"/>
      <protection hidden="1"/>
    </xf>
    <xf numFmtId="173" fontId="10" fillId="0" borderId="7" xfId="62" applyNumberFormat="1" applyFont="1" applyFill="1" applyBorder="1" applyAlignment="1" applyProtection="1">
      <alignment vertical="center"/>
      <protection hidden="1"/>
    </xf>
    <xf numFmtId="176" fontId="9" fillId="0" borderId="0" xfId="0" applyNumberFormat="1" applyFont="1" applyAlignment="1" applyProtection="1">
      <alignment vertical="center"/>
      <protection hidden="1"/>
    </xf>
    <xf numFmtId="165" fontId="9" fillId="0" borderId="0" xfId="0" applyNumberFormat="1" applyFont="1" applyProtection="1">
      <protection hidden="1"/>
    </xf>
    <xf numFmtId="176" fontId="9" fillId="0" borderId="0" xfId="0" applyNumberFormat="1" applyFont="1" applyProtection="1">
      <protection hidden="1"/>
    </xf>
    <xf numFmtId="208" fontId="62" fillId="0" borderId="0" xfId="0" applyNumberFormat="1" applyFont="1" applyAlignment="1" applyProtection="1">
      <alignment horizontal="left"/>
      <protection hidden="1"/>
    </xf>
    <xf numFmtId="212" fontId="10" fillId="0" borderId="0" xfId="0" applyNumberFormat="1" applyFont="1" applyProtection="1">
      <protection hidden="1"/>
    </xf>
    <xf numFmtId="176" fontId="10" fillId="0" borderId="0" xfId="62" applyNumberFormat="1" applyFont="1" applyFill="1" applyAlignment="1" applyProtection="1">
      <alignment vertical="center"/>
      <protection hidden="1"/>
    </xf>
    <xf numFmtId="0" fontId="9" fillId="0" borderId="7" xfId="0" applyFont="1" applyBorder="1" applyProtection="1">
      <protection hidden="1"/>
    </xf>
    <xf numFmtId="4" fontId="10" fillId="0" borderId="0" xfId="62" applyNumberFormat="1" applyFont="1" applyFill="1" applyAlignment="1" applyProtection="1">
      <alignment vertical="center"/>
      <protection hidden="1"/>
    </xf>
    <xf numFmtId="0" fontId="63" fillId="10" borderId="0" xfId="101" applyFont="1" applyFill="1" applyAlignment="1" applyProtection="1">
      <alignment vertical="center"/>
      <protection hidden="1"/>
    </xf>
    <xf numFmtId="0" fontId="64" fillId="10" borderId="0" xfId="101" applyFont="1" applyFill="1" applyAlignment="1" applyProtection="1">
      <alignment horizontal="center" vertical="center" wrapText="1"/>
      <protection hidden="1"/>
    </xf>
    <xf numFmtId="0" fontId="64" fillId="0" borderId="0" xfId="101" applyFont="1" applyAlignment="1" applyProtection="1">
      <alignment horizontal="center" vertical="center" wrapText="1"/>
      <protection hidden="1"/>
    </xf>
    <xf numFmtId="205" fontId="63" fillId="10" borderId="0" xfId="101" applyNumberFormat="1" applyFont="1" applyFill="1" applyAlignment="1" applyProtection="1">
      <alignment vertical="center"/>
      <protection hidden="1"/>
    </xf>
    <xf numFmtId="0" fontId="63" fillId="0" borderId="0" xfId="101" applyFont="1" applyAlignment="1" applyProtection="1">
      <alignment vertical="center"/>
      <protection hidden="1"/>
    </xf>
    <xf numFmtId="171" fontId="64" fillId="10" borderId="0" xfId="101" applyNumberFormat="1" applyFont="1" applyFill="1" applyAlignment="1" applyProtection="1">
      <alignment horizontal="center" vertical="center" wrapText="1"/>
      <protection hidden="1"/>
    </xf>
    <xf numFmtId="177" fontId="64" fillId="10" borderId="0" xfId="101" applyNumberFormat="1" applyFont="1" applyFill="1" applyAlignment="1" applyProtection="1">
      <alignment horizontal="center" vertical="center" wrapText="1"/>
      <protection hidden="1"/>
    </xf>
    <xf numFmtId="171" fontId="64" fillId="12" borderId="18" xfId="99" applyNumberFormat="1" applyFont="1" applyFill="1" applyBorder="1" applyAlignment="1" applyProtection="1">
      <alignment horizontal="center" vertical="center" wrapText="1"/>
      <protection hidden="1"/>
    </xf>
    <xf numFmtId="171" fontId="64" fillId="12" borderId="7" xfId="99" applyNumberFormat="1" applyFont="1" applyFill="1" applyBorder="1" applyAlignment="1" applyProtection="1">
      <alignment horizontal="center" vertical="center" wrapText="1"/>
      <protection hidden="1"/>
    </xf>
    <xf numFmtId="171" fontId="64" fillId="13" borderId="37" xfId="76" applyNumberFormat="1" applyFont="1" applyFill="1" applyBorder="1" applyAlignment="1" applyProtection="1">
      <alignment horizontal="center" vertical="center" wrapText="1"/>
      <protection hidden="1"/>
    </xf>
    <xf numFmtId="171" fontId="64" fillId="13" borderId="35" xfId="76" applyNumberFormat="1" applyFont="1" applyFill="1" applyBorder="1" applyAlignment="1" applyProtection="1">
      <alignment horizontal="center" vertical="center" wrapText="1"/>
      <protection hidden="1"/>
    </xf>
    <xf numFmtId="171" fontId="64" fillId="14" borderId="7" xfId="76" applyNumberFormat="1" applyFont="1" applyFill="1" applyBorder="1" applyAlignment="1" applyProtection="1">
      <alignment horizontal="center" vertical="center" wrapText="1"/>
      <protection hidden="1"/>
    </xf>
    <xf numFmtId="171" fontId="64" fillId="14" borderId="35" xfId="76" applyNumberFormat="1" applyFont="1" applyFill="1" applyBorder="1" applyAlignment="1" applyProtection="1">
      <alignment horizontal="center" vertical="center" wrapText="1"/>
      <protection hidden="1"/>
    </xf>
    <xf numFmtId="171" fontId="64" fillId="11" borderId="7" xfId="76" applyNumberFormat="1" applyFont="1" applyFill="1" applyBorder="1" applyAlignment="1" applyProtection="1">
      <alignment horizontal="center" vertical="center" wrapText="1"/>
      <protection hidden="1"/>
    </xf>
    <xf numFmtId="171" fontId="64" fillId="11" borderId="35" xfId="76" applyNumberFormat="1" applyFont="1" applyFill="1" applyBorder="1" applyAlignment="1" applyProtection="1">
      <alignment horizontal="center" vertical="center" wrapText="1"/>
      <protection hidden="1"/>
    </xf>
    <xf numFmtId="0" fontId="63" fillId="10" borderId="0" xfId="101" applyFont="1" applyFill="1" applyAlignment="1" applyProtection="1">
      <alignment horizontal="center" vertical="center" wrapText="1"/>
      <protection hidden="1"/>
    </xf>
    <xf numFmtId="171" fontId="64" fillId="12" borderId="38" xfId="99" applyNumberFormat="1" applyFont="1" applyFill="1" applyBorder="1" applyAlignment="1" applyProtection="1">
      <alignment horizontal="center" vertical="center" wrapText="1"/>
      <protection hidden="1"/>
    </xf>
    <xf numFmtId="3" fontId="64" fillId="12" borderId="14" xfId="101" applyNumberFormat="1" applyFont="1" applyFill="1" applyBorder="1" applyAlignment="1" applyProtection="1">
      <alignment horizontal="center" vertical="center" wrapText="1"/>
      <protection hidden="1"/>
    </xf>
    <xf numFmtId="171" fontId="64" fillId="13" borderId="39" xfId="76" applyNumberFormat="1" applyFont="1" applyFill="1" applyBorder="1" applyAlignment="1" applyProtection="1">
      <alignment horizontal="center" vertical="center" wrapText="1"/>
      <protection hidden="1"/>
    </xf>
    <xf numFmtId="3" fontId="64" fillId="13" borderId="40" xfId="101" applyNumberFormat="1" applyFont="1" applyFill="1" applyBorder="1" applyAlignment="1" applyProtection="1">
      <alignment horizontal="center" vertical="center" wrapText="1"/>
      <protection hidden="1"/>
    </xf>
    <xf numFmtId="171" fontId="64" fillId="14" borderId="14" xfId="76" applyNumberFormat="1" applyFont="1" applyFill="1" applyBorder="1" applyAlignment="1" applyProtection="1">
      <alignment horizontal="center" vertical="center" wrapText="1"/>
      <protection hidden="1"/>
    </xf>
    <xf numFmtId="3" fontId="64" fillId="14" borderId="40" xfId="101" applyNumberFormat="1" applyFont="1" applyFill="1" applyBorder="1" applyAlignment="1" applyProtection="1">
      <alignment horizontal="center" vertical="center" wrapText="1"/>
      <protection hidden="1"/>
    </xf>
    <xf numFmtId="171" fontId="64" fillId="11" borderId="14" xfId="76" applyNumberFormat="1" applyFont="1" applyFill="1" applyBorder="1" applyAlignment="1" applyProtection="1">
      <alignment horizontal="center" vertical="center" wrapText="1"/>
      <protection hidden="1"/>
    </xf>
    <xf numFmtId="3" fontId="64" fillId="11" borderId="40" xfId="101" applyNumberFormat="1" applyFont="1" applyFill="1" applyBorder="1" applyAlignment="1" applyProtection="1">
      <alignment horizontal="center" vertical="center" wrapText="1"/>
      <protection hidden="1"/>
    </xf>
    <xf numFmtId="171" fontId="64" fillId="12" borderId="41" xfId="99" applyNumberFormat="1" applyFont="1" applyFill="1" applyBorder="1" applyAlignment="1" applyProtection="1">
      <alignment horizontal="center" vertical="center" wrapText="1"/>
      <protection hidden="1"/>
    </xf>
    <xf numFmtId="3" fontId="64" fillId="12" borderId="42" xfId="101" applyNumberFormat="1" applyFont="1" applyFill="1" applyBorder="1" applyAlignment="1" applyProtection="1">
      <alignment horizontal="center" vertical="center" wrapText="1"/>
      <protection hidden="1"/>
    </xf>
    <xf numFmtId="171" fontId="64" fillId="13" borderId="42" xfId="99" applyNumberFormat="1" applyFont="1" applyFill="1" applyBorder="1" applyAlignment="1" applyProtection="1">
      <alignment horizontal="center" vertical="center" wrapText="1"/>
      <protection hidden="1"/>
    </xf>
    <xf numFmtId="3" fontId="64" fillId="13" borderId="43" xfId="101" applyNumberFormat="1" applyFont="1" applyFill="1" applyBorder="1" applyAlignment="1" applyProtection="1">
      <alignment horizontal="center" vertical="center" wrapText="1"/>
      <protection hidden="1"/>
    </xf>
    <xf numFmtId="171" fontId="64" fillId="14" borderId="42" xfId="99" applyNumberFormat="1" applyFont="1" applyFill="1" applyBorder="1" applyAlignment="1" applyProtection="1">
      <alignment horizontal="center" vertical="center" wrapText="1"/>
      <protection hidden="1"/>
    </xf>
    <xf numFmtId="3" fontId="64" fillId="14" borderId="43" xfId="101" applyNumberFormat="1" applyFont="1" applyFill="1" applyBorder="1" applyAlignment="1" applyProtection="1">
      <alignment horizontal="center" vertical="center" wrapText="1"/>
      <protection hidden="1"/>
    </xf>
    <xf numFmtId="171" fontId="64" fillId="11" borderId="42" xfId="99" applyNumberFormat="1" applyFont="1" applyFill="1" applyBorder="1" applyAlignment="1" applyProtection="1">
      <alignment horizontal="center" vertical="center" wrapText="1"/>
      <protection hidden="1"/>
    </xf>
    <xf numFmtId="3" fontId="64" fillId="11" borderId="43" xfId="101" applyNumberFormat="1" applyFont="1" applyFill="1" applyBorder="1" applyAlignment="1" applyProtection="1">
      <alignment horizontal="center" vertical="center" wrapText="1"/>
      <protection hidden="1"/>
    </xf>
    <xf numFmtId="4" fontId="64" fillId="11" borderId="44" xfId="98" applyNumberFormat="1" applyFont="1" applyFill="1" applyBorder="1" applyAlignment="1" applyProtection="1">
      <alignment horizontal="center" vertical="center" wrapText="1"/>
      <protection hidden="1"/>
    </xf>
    <xf numFmtId="4" fontId="64" fillId="11" borderId="45" xfId="98" applyNumberFormat="1" applyFont="1" applyFill="1" applyBorder="1" applyAlignment="1" applyProtection="1">
      <alignment horizontal="center" vertical="center" wrapText="1"/>
      <protection hidden="1"/>
    </xf>
    <xf numFmtId="4" fontId="64" fillId="11" borderId="46" xfId="98" applyNumberFormat="1" applyFont="1" applyFill="1" applyBorder="1" applyAlignment="1" applyProtection="1">
      <alignment horizontal="center" vertical="center" wrapText="1"/>
      <protection hidden="1"/>
    </xf>
    <xf numFmtId="171" fontId="64" fillId="11" borderId="2" xfId="101" applyNumberFormat="1" applyFont="1" applyFill="1" applyBorder="1" applyAlignment="1" applyProtection="1">
      <alignment horizontal="center" vertical="center" wrapText="1"/>
      <protection hidden="1"/>
    </xf>
    <xf numFmtId="171" fontId="64" fillId="11" borderId="45" xfId="101" applyNumberFormat="1" applyFont="1" applyFill="1" applyBorder="1" applyAlignment="1" applyProtection="1">
      <alignment horizontal="center" vertical="center" wrapText="1"/>
      <protection hidden="1"/>
    </xf>
    <xf numFmtId="0" fontId="64" fillId="11" borderId="45" xfId="99" applyFont="1" applyFill="1" applyBorder="1" applyAlignment="1" applyProtection="1">
      <alignment horizontal="center" vertical="center" wrapText="1"/>
      <protection hidden="1"/>
    </xf>
    <xf numFmtId="0" fontId="64" fillId="11" borderId="47" xfId="99" applyFont="1" applyFill="1" applyBorder="1" applyAlignment="1" applyProtection="1">
      <alignment horizontal="center" vertical="center" wrapText="1"/>
      <protection hidden="1"/>
    </xf>
    <xf numFmtId="0" fontId="64" fillId="11" borderId="46" xfId="99" applyFont="1" applyFill="1" applyBorder="1" applyAlignment="1" applyProtection="1">
      <alignment horizontal="center" vertical="center" wrapText="1"/>
      <protection hidden="1"/>
    </xf>
    <xf numFmtId="178" fontId="57" fillId="15" borderId="44" xfId="99" applyNumberFormat="1" applyFont="1" applyFill="1" applyBorder="1" applyAlignment="1" applyProtection="1">
      <alignment horizontal="center" vertical="center" wrapText="1"/>
      <protection hidden="1"/>
    </xf>
    <xf numFmtId="0" fontId="57" fillId="15" borderId="46" xfId="101" applyFont="1" applyFill="1" applyBorder="1" applyAlignment="1" applyProtection="1">
      <alignment horizontal="center" vertical="center" wrapText="1"/>
      <protection hidden="1"/>
    </xf>
    <xf numFmtId="178" fontId="57" fillId="13" borderId="44" xfId="99" applyNumberFormat="1" applyFont="1" applyFill="1" applyBorder="1" applyAlignment="1" applyProtection="1">
      <alignment horizontal="center" vertical="center" wrapText="1"/>
      <protection hidden="1"/>
    </xf>
    <xf numFmtId="0" fontId="57" fillId="13" borderId="47" xfId="101" applyFont="1" applyFill="1" applyBorder="1" applyAlignment="1" applyProtection="1">
      <alignment horizontal="center" vertical="center" wrapText="1"/>
      <protection hidden="1"/>
    </xf>
    <xf numFmtId="178" fontId="57" fillId="16" borderId="2" xfId="99" applyNumberFormat="1" applyFont="1" applyFill="1" applyBorder="1" applyAlignment="1" applyProtection="1">
      <alignment horizontal="center" vertical="center" wrapText="1"/>
      <protection hidden="1"/>
    </xf>
    <xf numFmtId="0" fontId="57" fillId="0" borderId="47" xfId="101" applyFont="1" applyBorder="1" applyAlignment="1" applyProtection="1">
      <alignment horizontal="center" vertical="center" wrapText="1"/>
      <protection hidden="1"/>
    </xf>
    <xf numFmtId="0" fontId="64" fillId="11" borderId="48" xfId="101" applyFont="1" applyFill="1" applyBorder="1" applyAlignment="1" applyProtection="1">
      <alignment horizontal="center" vertical="center" wrapText="1"/>
      <protection hidden="1"/>
    </xf>
    <xf numFmtId="0" fontId="63" fillId="0" borderId="23" xfId="95" applyFont="1" applyBorder="1" applyAlignment="1" applyProtection="1">
      <alignment horizontal="center" vertical="center" wrapText="1"/>
      <protection hidden="1"/>
    </xf>
    <xf numFmtId="0" fontId="63" fillId="0" borderId="19" xfId="95" applyFont="1" applyBorder="1" applyAlignment="1" applyProtection="1">
      <alignment horizontal="center" vertical="center" wrapText="1"/>
      <protection hidden="1"/>
    </xf>
    <xf numFmtId="4" fontId="63" fillId="0" borderId="19" xfId="95" applyNumberFormat="1" applyFont="1" applyBorder="1" applyAlignment="1" applyProtection="1">
      <alignment horizontal="justify" vertical="center" wrapText="1"/>
      <protection hidden="1"/>
    </xf>
    <xf numFmtId="0" fontId="63" fillId="0" borderId="49" xfId="95" applyFont="1" applyBorder="1" applyAlignment="1" applyProtection="1">
      <alignment horizontal="center" vertical="center"/>
      <protection hidden="1"/>
    </xf>
    <xf numFmtId="171" fontId="63" fillId="0" borderId="23" xfId="102" applyNumberFormat="1" applyFont="1" applyBorder="1" applyAlignment="1" applyProtection="1">
      <alignment horizontal="center" vertical="center"/>
      <protection hidden="1"/>
    </xf>
    <xf numFmtId="171" fontId="63" fillId="0" borderId="19" xfId="99" applyNumberFormat="1" applyFont="1" applyBorder="1" applyAlignment="1" applyProtection="1">
      <alignment horizontal="center" vertical="center"/>
      <protection hidden="1"/>
    </xf>
    <xf numFmtId="171" fontId="63" fillId="0" borderId="19" xfId="102" applyNumberFormat="1" applyFont="1" applyBorder="1" applyAlignment="1" applyProtection="1">
      <alignment horizontal="center" vertical="center"/>
      <protection hidden="1"/>
    </xf>
    <xf numFmtId="171" fontId="63" fillId="0" borderId="19" xfId="76" applyNumberFormat="1" applyFont="1" applyBorder="1" applyAlignment="1" applyProtection="1">
      <alignment horizontal="center" vertical="center"/>
      <protection hidden="1"/>
    </xf>
    <xf numFmtId="171" fontId="63" fillId="0" borderId="49" xfId="76" applyNumberFormat="1" applyFont="1" applyBorder="1" applyAlignment="1" applyProtection="1">
      <alignment horizontal="center" vertical="center"/>
      <protection hidden="1"/>
    </xf>
    <xf numFmtId="171" fontId="63" fillId="0" borderId="7" xfId="76" applyNumberFormat="1" applyFont="1" applyBorder="1" applyAlignment="1" applyProtection="1">
      <alignment horizontal="center" vertical="center"/>
      <protection hidden="1"/>
    </xf>
    <xf numFmtId="3" fontId="63" fillId="0" borderId="19" xfId="101" applyNumberFormat="1" applyFont="1" applyBorder="1" applyAlignment="1" applyProtection="1">
      <alignment horizontal="center" vertical="center"/>
      <protection hidden="1"/>
    </xf>
    <xf numFmtId="178" fontId="63" fillId="0" borderId="19" xfId="99" applyNumberFormat="1" applyFont="1" applyBorder="1" applyAlignment="1" applyProtection="1">
      <alignment horizontal="right" vertical="center"/>
      <protection hidden="1"/>
    </xf>
    <xf numFmtId="178" fontId="63" fillId="10" borderId="25" xfId="99" applyNumberFormat="1" applyFont="1" applyFill="1" applyBorder="1" applyAlignment="1" applyProtection="1">
      <alignment horizontal="right" vertical="center"/>
      <protection hidden="1"/>
    </xf>
    <xf numFmtId="178" fontId="63" fillId="0" borderId="24" xfId="99" applyNumberFormat="1" applyFont="1" applyBorder="1" applyAlignment="1" applyProtection="1">
      <alignment horizontal="right" vertical="center"/>
      <protection hidden="1"/>
    </xf>
    <xf numFmtId="0" fontId="63" fillId="0" borderId="23" xfId="101" applyFont="1" applyBorder="1" applyAlignment="1" applyProtection="1">
      <alignment vertical="center"/>
      <protection hidden="1"/>
    </xf>
    <xf numFmtId="178" fontId="63" fillId="0" borderId="49" xfId="99" applyNumberFormat="1" applyFont="1" applyBorder="1" applyAlignment="1" applyProtection="1">
      <alignment horizontal="right" vertical="center"/>
      <protection hidden="1"/>
    </xf>
    <xf numFmtId="178" fontId="63" fillId="0" borderId="23" xfId="99" applyNumberFormat="1" applyFont="1" applyBorder="1" applyAlignment="1" applyProtection="1">
      <alignment horizontal="right" vertical="center"/>
      <protection hidden="1"/>
    </xf>
    <xf numFmtId="178" fontId="63" fillId="0" borderId="25" xfId="99" applyNumberFormat="1" applyFont="1" applyBorder="1" applyAlignment="1" applyProtection="1">
      <alignment horizontal="right" vertical="center"/>
      <protection hidden="1"/>
    </xf>
    <xf numFmtId="178" fontId="63" fillId="0" borderId="7" xfId="99" applyNumberFormat="1" applyFont="1" applyBorder="1" applyAlignment="1" applyProtection="1">
      <alignment horizontal="right" vertical="center"/>
      <protection hidden="1"/>
    </xf>
    <xf numFmtId="0" fontId="63" fillId="0" borderId="18" xfId="95" applyFont="1" applyBorder="1" applyAlignment="1" applyProtection="1">
      <alignment horizontal="center" vertical="center" wrapText="1"/>
      <protection hidden="1"/>
    </xf>
    <xf numFmtId="0" fontId="63" fillId="0" borderId="7" xfId="95" applyFont="1" applyBorder="1" applyAlignment="1" applyProtection="1">
      <alignment horizontal="center" vertical="center" wrapText="1"/>
      <protection hidden="1"/>
    </xf>
    <xf numFmtId="4" fontId="63" fillId="0" borderId="7" xfId="95" applyNumberFormat="1" applyFont="1" applyBorder="1" applyAlignment="1" applyProtection="1">
      <alignment horizontal="justify" vertical="center" wrapText="1"/>
      <protection hidden="1"/>
    </xf>
    <xf numFmtId="0" fontId="63" fillId="0" borderId="35" xfId="95" applyFont="1" applyBorder="1" applyAlignment="1" applyProtection="1">
      <alignment horizontal="center" vertical="center"/>
      <protection hidden="1"/>
    </xf>
    <xf numFmtId="4" fontId="63" fillId="0" borderId="18" xfId="102" applyNumberFormat="1" applyFont="1" applyBorder="1" applyAlignment="1" applyProtection="1">
      <alignment horizontal="center" vertical="center"/>
      <protection hidden="1"/>
    </xf>
    <xf numFmtId="171" fontId="63" fillId="0" borderId="7" xfId="102" applyNumberFormat="1" applyFont="1" applyBorder="1" applyAlignment="1" applyProtection="1">
      <alignment horizontal="center" vertical="center"/>
      <protection hidden="1"/>
    </xf>
    <xf numFmtId="171" fontId="63" fillId="0" borderId="35" xfId="76" applyNumberFormat="1" applyFont="1" applyBorder="1" applyAlignment="1" applyProtection="1">
      <alignment horizontal="center" vertical="center"/>
      <protection hidden="1"/>
    </xf>
    <xf numFmtId="178" fontId="63" fillId="10" borderId="37" xfId="99" applyNumberFormat="1" applyFont="1" applyFill="1" applyBorder="1" applyAlignment="1" applyProtection="1">
      <alignment horizontal="right" vertical="center"/>
      <protection hidden="1"/>
    </xf>
    <xf numFmtId="178" fontId="63" fillId="0" borderId="20" xfId="99" applyNumberFormat="1" applyFont="1" applyBorder="1" applyAlignment="1" applyProtection="1">
      <alignment horizontal="right" vertical="center"/>
      <protection hidden="1"/>
    </xf>
    <xf numFmtId="178" fontId="63" fillId="0" borderId="18" xfId="99" applyNumberFormat="1" applyFont="1" applyBorder="1" applyAlignment="1" applyProtection="1">
      <alignment horizontal="right" vertical="center"/>
      <protection hidden="1"/>
    </xf>
    <xf numFmtId="178" fontId="63" fillId="0" borderId="35" xfId="99" applyNumberFormat="1" applyFont="1" applyBorder="1" applyAlignment="1" applyProtection="1">
      <alignment horizontal="right" vertical="center"/>
      <protection hidden="1"/>
    </xf>
    <xf numFmtId="178" fontId="63" fillId="0" borderId="37" xfId="99" applyNumberFormat="1" applyFont="1" applyBorder="1" applyAlignment="1" applyProtection="1">
      <alignment horizontal="right" vertical="center"/>
      <protection hidden="1"/>
    </xf>
    <xf numFmtId="171" fontId="63" fillId="0" borderId="18" xfId="102" applyNumberFormat="1" applyFont="1" applyBorder="1" applyAlignment="1" applyProtection="1">
      <alignment horizontal="center" vertical="center"/>
      <protection hidden="1"/>
    </xf>
    <xf numFmtId="171" fontId="63" fillId="0" borderId="7" xfId="99" applyNumberFormat="1" applyFont="1" applyBorder="1" applyAlignment="1" applyProtection="1">
      <alignment horizontal="center" vertical="center"/>
      <protection hidden="1"/>
    </xf>
    <xf numFmtId="171" fontId="63" fillId="0" borderId="35" xfId="99" applyNumberFormat="1" applyFont="1" applyBorder="1" applyAlignment="1" applyProtection="1">
      <alignment horizontal="center" vertical="center"/>
      <protection hidden="1"/>
    </xf>
    <xf numFmtId="178" fontId="26" fillId="0" borderId="18" xfId="99" applyNumberFormat="1" applyFont="1" applyBorder="1" applyAlignment="1" applyProtection="1">
      <alignment horizontal="right" vertical="center"/>
      <protection hidden="1"/>
    </xf>
    <xf numFmtId="178" fontId="26" fillId="0" borderId="35" xfId="99" applyNumberFormat="1" applyFont="1" applyBorder="1" applyAlignment="1" applyProtection="1">
      <alignment horizontal="right" vertical="center"/>
      <protection hidden="1"/>
    </xf>
    <xf numFmtId="178" fontId="26" fillId="0" borderId="20" xfId="99" applyNumberFormat="1" applyFont="1" applyBorder="1" applyAlignment="1" applyProtection="1">
      <alignment horizontal="right" vertical="center"/>
      <protection hidden="1"/>
    </xf>
    <xf numFmtId="178" fontId="26" fillId="0" borderId="37" xfId="99" applyNumberFormat="1" applyFont="1" applyBorder="1" applyAlignment="1" applyProtection="1">
      <alignment horizontal="right" vertical="center"/>
      <protection hidden="1"/>
    </xf>
    <xf numFmtId="178" fontId="26" fillId="0" borderId="7" xfId="99" applyNumberFormat="1" applyFont="1" applyBorder="1" applyAlignment="1" applyProtection="1">
      <alignment horizontal="right" vertical="center"/>
      <protection hidden="1"/>
    </xf>
    <xf numFmtId="0" fontId="26" fillId="17" borderId="18" xfId="95" applyFont="1" applyFill="1" applyBorder="1" applyAlignment="1" applyProtection="1">
      <alignment horizontal="center" vertical="center" wrapText="1"/>
      <protection hidden="1"/>
    </xf>
    <xf numFmtId="0" fontId="26" fillId="17" borderId="7" xfId="95" applyFont="1" applyFill="1" applyBorder="1" applyAlignment="1" applyProtection="1">
      <alignment horizontal="center" vertical="center" wrapText="1"/>
      <protection hidden="1"/>
    </xf>
    <xf numFmtId="3" fontId="26" fillId="17" borderId="7" xfId="95" applyNumberFormat="1" applyFont="1" applyFill="1" applyBorder="1" applyAlignment="1" applyProtection="1">
      <alignment horizontal="justify" vertical="center" wrapText="1"/>
      <protection hidden="1"/>
    </xf>
    <xf numFmtId="171" fontId="26" fillId="17" borderId="7" xfId="99" applyNumberFormat="1" applyFont="1" applyFill="1" applyBorder="1" applyAlignment="1" applyProtection="1">
      <alignment horizontal="center" vertical="center"/>
      <protection hidden="1"/>
    </xf>
    <xf numFmtId="171" fontId="63" fillId="17" borderId="7" xfId="76" applyNumberFormat="1" applyFont="1" applyFill="1" applyBorder="1" applyAlignment="1" applyProtection="1">
      <alignment horizontal="center" vertical="center"/>
      <protection hidden="1"/>
    </xf>
    <xf numFmtId="171" fontId="26" fillId="17" borderId="35" xfId="99" applyNumberFormat="1" applyFont="1" applyFill="1" applyBorder="1" applyAlignment="1" applyProtection="1">
      <alignment horizontal="center" vertical="center"/>
      <protection hidden="1"/>
    </xf>
    <xf numFmtId="3" fontId="26" fillId="17" borderId="19" xfId="101" applyNumberFormat="1" applyFont="1" applyFill="1" applyBorder="1" applyAlignment="1" applyProtection="1">
      <alignment horizontal="center" vertical="center"/>
      <protection hidden="1"/>
    </xf>
    <xf numFmtId="178" fontId="26" fillId="17" borderId="7" xfId="99" applyNumberFormat="1" applyFont="1" applyFill="1" applyBorder="1" applyAlignment="1" applyProtection="1">
      <alignment horizontal="right" vertical="center"/>
      <protection hidden="1"/>
    </xf>
    <xf numFmtId="178" fontId="26" fillId="17" borderId="37" xfId="99" applyNumberFormat="1" applyFont="1" applyFill="1" applyBorder="1" applyAlignment="1" applyProtection="1">
      <alignment horizontal="right" vertical="center"/>
      <protection hidden="1"/>
    </xf>
    <xf numFmtId="178" fontId="26" fillId="17" borderId="20" xfId="99" applyNumberFormat="1" applyFont="1" applyFill="1" applyBorder="1" applyAlignment="1" applyProtection="1">
      <alignment horizontal="right" vertical="center"/>
      <protection hidden="1"/>
    </xf>
    <xf numFmtId="178" fontId="26" fillId="17" borderId="18" xfId="99" applyNumberFormat="1" applyFont="1" applyFill="1" applyBorder="1" applyAlignment="1" applyProtection="1">
      <alignment horizontal="right" vertical="center"/>
      <protection hidden="1"/>
    </xf>
    <xf numFmtId="0" fontId="26" fillId="17" borderId="0" xfId="101" applyFont="1" applyFill="1" applyAlignment="1" applyProtection="1">
      <alignment vertical="center"/>
      <protection hidden="1"/>
    </xf>
    <xf numFmtId="0" fontId="26" fillId="18" borderId="18" xfId="95" applyFont="1" applyFill="1" applyBorder="1" applyAlignment="1" applyProtection="1">
      <alignment horizontal="center" vertical="center" wrapText="1"/>
      <protection hidden="1"/>
    </xf>
    <xf numFmtId="0" fontId="26" fillId="18" borderId="7" xfId="95" applyFont="1" applyFill="1" applyBorder="1" applyAlignment="1" applyProtection="1">
      <alignment horizontal="center" vertical="center" wrapText="1"/>
      <protection hidden="1"/>
    </xf>
    <xf numFmtId="3" fontId="26" fillId="18" borderId="7" xfId="95" applyNumberFormat="1" applyFont="1" applyFill="1" applyBorder="1" applyAlignment="1" applyProtection="1">
      <alignment horizontal="justify" vertical="center" wrapText="1"/>
      <protection hidden="1"/>
    </xf>
    <xf numFmtId="0" fontId="26" fillId="18" borderId="35" xfId="95" applyFont="1" applyFill="1" applyBorder="1" applyAlignment="1" applyProtection="1">
      <alignment horizontal="center" vertical="center"/>
      <protection hidden="1"/>
    </xf>
    <xf numFmtId="171" fontId="26" fillId="18" borderId="18" xfId="102" applyNumberFormat="1" applyFont="1" applyFill="1" applyBorder="1" applyAlignment="1" applyProtection="1">
      <alignment horizontal="center" vertical="center"/>
      <protection hidden="1"/>
    </xf>
    <xf numFmtId="171" fontId="26" fillId="18" borderId="7" xfId="99" applyNumberFormat="1" applyFont="1" applyFill="1" applyBorder="1" applyAlignment="1" applyProtection="1">
      <alignment horizontal="center" vertical="center"/>
      <protection hidden="1"/>
    </xf>
    <xf numFmtId="171" fontId="26" fillId="18" borderId="7" xfId="102" applyNumberFormat="1" applyFont="1" applyFill="1" applyBorder="1" applyAlignment="1" applyProtection="1">
      <alignment horizontal="center" vertical="center"/>
      <protection hidden="1"/>
    </xf>
    <xf numFmtId="171" fontId="26" fillId="18" borderId="7" xfId="76" applyNumberFormat="1" applyFont="1" applyFill="1" applyBorder="1" applyAlignment="1" applyProtection="1">
      <alignment horizontal="center" vertical="center"/>
      <protection hidden="1"/>
    </xf>
    <xf numFmtId="171" fontId="26" fillId="18" borderId="35" xfId="99" applyNumberFormat="1" applyFont="1" applyFill="1" applyBorder="1" applyAlignment="1" applyProtection="1">
      <alignment horizontal="center" vertical="center"/>
      <protection hidden="1"/>
    </xf>
    <xf numFmtId="3" fontId="26" fillId="18" borderId="19" xfId="101" applyNumberFormat="1" applyFont="1" applyFill="1" applyBorder="1" applyAlignment="1" applyProtection="1">
      <alignment horizontal="center" vertical="center"/>
      <protection hidden="1"/>
    </xf>
    <xf numFmtId="178" fontId="26" fillId="18" borderId="7" xfId="99" applyNumberFormat="1" applyFont="1" applyFill="1" applyBorder="1" applyAlignment="1" applyProtection="1">
      <alignment horizontal="right" vertical="center"/>
      <protection hidden="1"/>
    </xf>
    <xf numFmtId="178" fontId="26" fillId="18" borderId="37" xfId="99" applyNumberFormat="1" applyFont="1" applyFill="1" applyBorder="1" applyAlignment="1" applyProtection="1">
      <alignment horizontal="right" vertical="center"/>
      <protection hidden="1"/>
    </xf>
    <xf numFmtId="178" fontId="26" fillId="18" borderId="20" xfId="99" applyNumberFormat="1" applyFont="1" applyFill="1" applyBorder="1" applyAlignment="1" applyProtection="1">
      <alignment horizontal="right" vertical="center"/>
      <protection hidden="1"/>
    </xf>
    <xf numFmtId="178" fontId="26" fillId="18" borderId="18" xfId="99" applyNumberFormat="1" applyFont="1" applyFill="1" applyBorder="1" applyAlignment="1" applyProtection="1">
      <alignment horizontal="right" vertical="center"/>
      <protection hidden="1"/>
    </xf>
    <xf numFmtId="178" fontId="26" fillId="18" borderId="35" xfId="99" applyNumberFormat="1" applyFont="1" applyFill="1" applyBorder="1" applyAlignment="1" applyProtection="1">
      <alignment horizontal="right" vertical="center"/>
      <protection hidden="1"/>
    </xf>
    <xf numFmtId="0" fontId="26" fillId="18" borderId="0" xfId="101" applyFont="1" applyFill="1" applyAlignment="1" applyProtection="1">
      <alignment vertical="center"/>
      <protection hidden="1"/>
    </xf>
    <xf numFmtId="0" fontId="26" fillId="19" borderId="18" xfId="95" applyFont="1" applyFill="1" applyBorder="1" applyAlignment="1" applyProtection="1">
      <alignment horizontal="center" vertical="center" wrapText="1"/>
      <protection hidden="1"/>
    </xf>
    <xf numFmtId="0" fontId="26" fillId="19" borderId="7" xfId="95" applyFont="1" applyFill="1" applyBorder="1" applyAlignment="1" applyProtection="1">
      <alignment horizontal="center" vertical="center" wrapText="1"/>
      <protection hidden="1"/>
    </xf>
    <xf numFmtId="3" fontId="26" fillId="19" borderId="7" xfId="95" applyNumberFormat="1" applyFont="1" applyFill="1" applyBorder="1" applyAlignment="1" applyProtection="1">
      <alignment horizontal="justify" vertical="center" wrapText="1"/>
      <protection hidden="1"/>
    </xf>
    <xf numFmtId="0" fontId="26" fillId="19" borderId="35" xfId="95" applyFont="1" applyFill="1" applyBorder="1" applyAlignment="1" applyProtection="1">
      <alignment horizontal="center" vertical="center"/>
      <protection hidden="1"/>
    </xf>
    <xf numFmtId="171" fontId="26" fillId="19" borderId="18" xfId="102" applyNumberFormat="1" applyFont="1" applyFill="1" applyBorder="1" applyAlignment="1" applyProtection="1">
      <alignment horizontal="center" vertical="center"/>
      <protection hidden="1"/>
    </xf>
    <xf numFmtId="171" fontId="26" fillId="19" borderId="7" xfId="99" applyNumberFormat="1" applyFont="1" applyFill="1" applyBorder="1" applyAlignment="1" applyProtection="1">
      <alignment horizontal="center" vertical="center"/>
      <protection hidden="1"/>
    </xf>
    <xf numFmtId="171" fontId="26" fillId="19" borderId="7" xfId="102" applyNumberFormat="1" applyFont="1" applyFill="1" applyBorder="1" applyAlignment="1" applyProtection="1">
      <alignment horizontal="center" vertical="center"/>
      <protection hidden="1"/>
    </xf>
    <xf numFmtId="171" fontId="26" fillId="19" borderId="35" xfId="99" applyNumberFormat="1" applyFont="1" applyFill="1" applyBorder="1" applyAlignment="1" applyProtection="1">
      <alignment horizontal="center" vertical="center"/>
      <protection hidden="1"/>
    </xf>
    <xf numFmtId="3" fontId="26" fillId="19" borderId="19" xfId="101" applyNumberFormat="1" applyFont="1" applyFill="1" applyBorder="1" applyAlignment="1" applyProtection="1">
      <alignment horizontal="center" vertical="center"/>
      <protection hidden="1"/>
    </xf>
    <xf numFmtId="178" fontId="26" fillId="19" borderId="7" xfId="99" applyNumberFormat="1" applyFont="1" applyFill="1" applyBorder="1" applyAlignment="1" applyProtection="1">
      <alignment horizontal="right" vertical="center"/>
      <protection hidden="1"/>
    </xf>
    <xf numFmtId="178" fontId="26" fillId="19" borderId="37" xfId="99" applyNumberFormat="1" applyFont="1" applyFill="1" applyBorder="1" applyAlignment="1" applyProtection="1">
      <alignment horizontal="right" vertical="center"/>
      <protection hidden="1"/>
    </xf>
    <xf numFmtId="178" fontId="26" fillId="19" borderId="20" xfId="99" applyNumberFormat="1" applyFont="1" applyFill="1" applyBorder="1" applyAlignment="1" applyProtection="1">
      <alignment horizontal="right" vertical="center"/>
      <protection hidden="1"/>
    </xf>
    <xf numFmtId="178" fontId="26" fillId="19" borderId="18" xfId="99" applyNumberFormat="1" applyFont="1" applyFill="1" applyBorder="1" applyAlignment="1" applyProtection="1">
      <alignment horizontal="right" vertical="center"/>
      <protection hidden="1"/>
    </xf>
    <xf numFmtId="178" fontId="26" fillId="19" borderId="35" xfId="99" applyNumberFormat="1" applyFont="1" applyFill="1" applyBorder="1" applyAlignment="1" applyProtection="1">
      <alignment horizontal="right" vertical="center"/>
      <protection hidden="1"/>
    </xf>
    <xf numFmtId="0" fontId="26" fillId="19" borderId="0" xfId="101" applyFont="1" applyFill="1" applyAlignment="1" applyProtection="1">
      <alignment vertical="center"/>
      <protection hidden="1"/>
    </xf>
    <xf numFmtId="0" fontId="26" fillId="20" borderId="18" xfId="95" applyFont="1" applyFill="1" applyBorder="1" applyAlignment="1" applyProtection="1">
      <alignment horizontal="center" vertical="center" wrapText="1"/>
      <protection hidden="1"/>
    </xf>
    <xf numFmtId="0" fontId="26" fillId="20" borderId="7" xfId="95" applyFont="1" applyFill="1" applyBorder="1" applyAlignment="1" applyProtection="1">
      <alignment horizontal="center" vertical="center" wrapText="1"/>
      <protection hidden="1"/>
    </xf>
    <xf numFmtId="3" fontId="26" fillId="20" borderId="7" xfId="95" applyNumberFormat="1" applyFont="1" applyFill="1" applyBorder="1" applyAlignment="1" applyProtection="1">
      <alignment horizontal="justify" vertical="center" wrapText="1"/>
      <protection hidden="1"/>
    </xf>
    <xf numFmtId="0" fontId="26" fillId="20" borderId="35" xfId="95" applyFont="1" applyFill="1" applyBorder="1" applyAlignment="1" applyProtection="1">
      <alignment horizontal="center" vertical="center"/>
      <protection hidden="1"/>
    </xf>
    <xf numFmtId="171" fontId="26" fillId="20" borderId="18" xfId="102" applyNumberFormat="1" applyFont="1" applyFill="1" applyBorder="1" applyAlignment="1" applyProtection="1">
      <alignment horizontal="center" vertical="center"/>
      <protection hidden="1"/>
    </xf>
    <xf numFmtId="171" fontId="26" fillId="20" borderId="7" xfId="99" applyNumberFormat="1" applyFont="1" applyFill="1" applyBorder="1" applyAlignment="1" applyProtection="1">
      <alignment horizontal="center" vertical="center"/>
      <protection hidden="1"/>
    </xf>
    <xf numFmtId="171" fontId="26" fillId="20" borderId="7" xfId="102" applyNumberFormat="1" applyFont="1" applyFill="1" applyBorder="1" applyAlignment="1" applyProtection="1">
      <alignment horizontal="center" vertical="center"/>
      <protection hidden="1"/>
    </xf>
    <xf numFmtId="171" fontId="26" fillId="20" borderId="35" xfId="99" applyNumberFormat="1" applyFont="1" applyFill="1" applyBorder="1" applyAlignment="1" applyProtection="1">
      <alignment horizontal="center" vertical="center"/>
      <protection hidden="1"/>
    </xf>
    <xf numFmtId="3" fontId="26" fillId="20" borderId="19" xfId="101" applyNumberFormat="1" applyFont="1" applyFill="1" applyBorder="1" applyAlignment="1" applyProtection="1">
      <alignment horizontal="center" vertical="center"/>
      <protection hidden="1"/>
    </xf>
    <xf numFmtId="178" fontId="26" fillId="20" borderId="7" xfId="99" applyNumberFormat="1" applyFont="1" applyFill="1" applyBorder="1" applyAlignment="1" applyProtection="1">
      <alignment horizontal="right" vertical="center"/>
      <protection hidden="1"/>
    </xf>
    <xf numFmtId="178" fontId="26" fillId="20" borderId="37" xfId="99" applyNumberFormat="1" applyFont="1" applyFill="1" applyBorder="1" applyAlignment="1" applyProtection="1">
      <alignment horizontal="right" vertical="center"/>
      <protection hidden="1"/>
    </xf>
    <xf numFmtId="178" fontId="26" fillId="20" borderId="20" xfId="99" applyNumberFormat="1" applyFont="1" applyFill="1" applyBorder="1" applyAlignment="1" applyProtection="1">
      <alignment horizontal="right" vertical="center"/>
      <protection hidden="1"/>
    </xf>
    <xf numFmtId="178" fontId="26" fillId="20" borderId="18" xfId="99" applyNumberFormat="1" applyFont="1" applyFill="1" applyBorder="1" applyAlignment="1" applyProtection="1">
      <alignment horizontal="right" vertical="center"/>
      <protection hidden="1"/>
    </xf>
    <xf numFmtId="0" fontId="26" fillId="20" borderId="0" xfId="101" applyFont="1" applyFill="1" applyAlignment="1" applyProtection="1">
      <alignment vertical="center"/>
      <protection hidden="1"/>
    </xf>
    <xf numFmtId="179" fontId="26" fillId="19" borderId="7" xfId="100" applyNumberFormat="1" applyFont="1" applyFill="1" applyBorder="1" applyAlignment="1" applyProtection="1">
      <alignment horizontal="justify" vertical="center" wrapText="1"/>
      <protection hidden="1"/>
    </xf>
    <xf numFmtId="171" fontId="26" fillId="19" borderId="35" xfId="102" applyNumberFormat="1" applyFont="1" applyFill="1" applyBorder="1" applyAlignment="1" applyProtection="1">
      <alignment horizontal="center" vertical="center"/>
      <protection hidden="1"/>
    </xf>
    <xf numFmtId="0" fontId="26" fillId="21" borderId="18" xfId="95" applyFont="1" applyFill="1" applyBorder="1" applyAlignment="1" applyProtection="1">
      <alignment horizontal="center" vertical="center" wrapText="1"/>
      <protection hidden="1"/>
    </xf>
    <xf numFmtId="0" fontId="26" fillId="21" borderId="7" xfId="95" applyFont="1" applyFill="1" applyBorder="1" applyAlignment="1" applyProtection="1">
      <alignment horizontal="center" vertical="center" wrapText="1"/>
      <protection hidden="1"/>
    </xf>
    <xf numFmtId="3" fontId="26" fillId="21" borderId="7" xfId="99" applyNumberFormat="1" applyFont="1" applyFill="1" applyBorder="1" applyAlignment="1" applyProtection="1">
      <alignment horizontal="justify" vertical="center" wrapText="1"/>
      <protection hidden="1"/>
    </xf>
    <xf numFmtId="3" fontId="26" fillId="21" borderId="35" xfId="99" applyNumberFormat="1" applyFont="1" applyFill="1" applyBorder="1" applyAlignment="1" applyProtection="1">
      <alignment horizontal="center" vertical="center" wrapText="1"/>
      <protection hidden="1"/>
    </xf>
    <xf numFmtId="171" fontId="26" fillId="21" borderId="7" xfId="99" applyNumberFormat="1" applyFont="1" applyFill="1" applyBorder="1" applyAlignment="1" applyProtection="1">
      <alignment horizontal="center" vertical="center" wrapText="1"/>
      <protection hidden="1"/>
    </xf>
    <xf numFmtId="171" fontId="26" fillId="21" borderId="7" xfId="99" applyNumberFormat="1" applyFont="1" applyFill="1" applyBorder="1" applyAlignment="1" applyProtection="1">
      <alignment horizontal="center" vertical="center"/>
      <protection hidden="1"/>
    </xf>
    <xf numFmtId="171" fontId="26" fillId="21" borderId="35" xfId="99" applyNumberFormat="1" applyFont="1" applyFill="1" applyBorder="1" applyAlignment="1" applyProtection="1">
      <alignment horizontal="center" vertical="center"/>
      <protection hidden="1"/>
    </xf>
    <xf numFmtId="3" fontId="26" fillId="21" borderId="19" xfId="101" applyNumberFormat="1" applyFont="1" applyFill="1" applyBorder="1" applyAlignment="1" applyProtection="1">
      <alignment horizontal="center" vertical="center"/>
      <protection hidden="1"/>
    </xf>
    <xf numFmtId="178" fontId="26" fillId="21" borderId="7" xfId="99" applyNumberFormat="1" applyFont="1" applyFill="1" applyBorder="1" applyAlignment="1" applyProtection="1">
      <alignment horizontal="right" vertical="center"/>
      <protection hidden="1"/>
    </xf>
    <xf numFmtId="178" fontId="26" fillId="21" borderId="37" xfId="99" applyNumberFormat="1" applyFont="1" applyFill="1" applyBorder="1" applyAlignment="1" applyProtection="1">
      <alignment horizontal="right" vertical="center"/>
      <protection hidden="1"/>
    </xf>
    <xf numFmtId="178" fontId="26" fillId="21" borderId="20" xfId="99" applyNumberFormat="1" applyFont="1" applyFill="1" applyBorder="1" applyAlignment="1" applyProtection="1">
      <alignment horizontal="right" vertical="center"/>
      <protection hidden="1"/>
    </xf>
    <xf numFmtId="178" fontId="26" fillId="21" borderId="18" xfId="99" applyNumberFormat="1" applyFont="1" applyFill="1" applyBorder="1" applyAlignment="1" applyProtection="1">
      <alignment horizontal="right" vertical="center"/>
      <protection hidden="1"/>
    </xf>
    <xf numFmtId="178" fontId="26" fillId="21" borderId="35" xfId="99" applyNumberFormat="1" applyFont="1" applyFill="1" applyBorder="1" applyAlignment="1" applyProtection="1">
      <alignment horizontal="right" vertical="center"/>
      <protection hidden="1"/>
    </xf>
    <xf numFmtId="0" fontId="26" fillId="21" borderId="0" xfId="101" applyFont="1" applyFill="1" applyAlignment="1" applyProtection="1">
      <alignment vertical="center"/>
      <protection hidden="1"/>
    </xf>
    <xf numFmtId="179" fontId="26" fillId="18" borderId="7" xfId="100" applyNumberFormat="1" applyFont="1" applyFill="1" applyBorder="1" applyAlignment="1" applyProtection="1">
      <alignment horizontal="justify" vertical="center" wrapText="1"/>
      <protection hidden="1"/>
    </xf>
    <xf numFmtId="3" fontId="26" fillId="19" borderId="7" xfId="100" applyNumberFormat="1" applyFont="1" applyFill="1" applyBorder="1" applyAlignment="1" applyProtection="1">
      <alignment horizontal="justify" vertical="center" wrapText="1"/>
      <protection hidden="1"/>
    </xf>
    <xf numFmtId="178" fontId="26" fillId="19" borderId="25" xfId="99" applyNumberFormat="1" applyFont="1" applyFill="1" applyBorder="1" applyAlignment="1" applyProtection="1">
      <alignment horizontal="right" vertical="center"/>
      <protection hidden="1"/>
    </xf>
    <xf numFmtId="171" fontId="26" fillId="21" borderId="18" xfId="99" applyNumberFormat="1" applyFont="1" applyFill="1" applyBorder="1" applyAlignment="1" applyProtection="1">
      <alignment horizontal="center" vertical="center" wrapText="1"/>
      <protection hidden="1"/>
    </xf>
    <xf numFmtId="3" fontId="65" fillId="21" borderId="7" xfId="99" applyNumberFormat="1" applyFont="1" applyFill="1" applyBorder="1" applyAlignment="1" applyProtection="1">
      <alignment horizontal="justify" vertical="center" wrapText="1"/>
      <protection hidden="1"/>
    </xf>
    <xf numFmtId="171" fontId="65" fillId="21" borderId="18" xfId="99" applyNumberFormat="1" applyFont="1" applyFill="1" applyBorder="1" applyAlignment="1" applyProtection="1">
      <alignment horizontal="center" vertical="center" wrapText="1"/>
      <protection hidden="1"/>
    </xf>
    <xf numFmtId="0" fontId="64" fillId="0" borderId="7" xfId="95" applyFont="1" applyBorder="1" applyAlignment="1" applyProtection="1">
      <alignment horizontal="center" vertical="center" wrapText="1"/>
      <protection hidden="1"/>
    </xf>
    <xf numFmtId="3" fontId="66" fillId="0" borderId="7" xfId="76" applyNumberFormat="1" applyFont="1" applyBorder="1" applyAlignment="1" applyProtection="1">
      <alignment vertical="center" wrapText="1"/>
      <protection hidden="1"/>
    </xf>
    <xf numFmtId="0" fontId="63" fillId="0" borderId="35" xfId="76" applyFont="1" applyBorder="1" applyAlignment="1" applyProtection="1">
      <alignment horizontal="center" vertical="center" wrapText="1"/>
      <protection hidden="1"/>
    </xf>
    <xf numFmtId="171" fontId="63" fillId="0" borderId="18" xfId="76" applyNumberFormat="1" applyFont="1" applyBorder="1" applyAlignment="1" applyProtection="1">
      <alignment horizontal="center" vertical="center" wrapText="1"/>
      <protection hidden="1"/>
    </xf>
    <xf numFmtId="0" fontId="63" fillId="0" borderId="7" xfId="99" applyFont="1" applyBorder="1" applyAlignment="1" applyProtection="1">
      <alignment horizontal="right" vertical="center" wrapText="1"/>
      <protection hidden="1"/>
    </xf>
    <xf numFmtId="0" fontId="63" fillId="0" borderId="20" xfId="99" applyFont="1" applyBorder="1" applyAlignment="1" applyProtection="1">
      <alignment horizontal="right" vertical="center" wrapText="1"/>
      <protection hidden="1"/>
    </xf>
    <xf numFmtId="178" fontId="26" fillId="0" borderId="25" xfId="99" applyNumberFormat="1" applyFont="1" applyBorder="1" applyAlignment="1" applyProtection="1">
      <alignment horizontal="right" vertical="center"/>
      <protection hidden="1"/>
    </xf>
    <xf numFmtId="178" fontId="63" fillId="0" borderId="0" xfId="101" applyNumberFormat="1" applyFont="1" applyAlignment="1" applyProtection="1">
      <alignment vertical="center"/>
      <protection hidden="1"/>
    </xf>
    <xf numFmtId="3" fontId="63" fillId="0" borderId="7" xfId="76" applyNumberFormat="1" applyFont="1" applyBorder="1" applyAlignment="1" applyProtection="1">
      <alignment horizontal="justify" vertical="center" wrapText="1"/>
      <protection hidden="1"/>
    </xf>
    <xf numFmtId="178" fontId="63" fillId="0" borderId="7" xfId="99" applyNumberFormat="1" applyFont="1" applyBorder="1" applyAlignment="1" applyProtection="1">
      <alignment horizontal="right" vertical="center" wrapText="1"/>
      <protection hidden="1"/>
    </xf>
    <xf numFmtId="0" fontId="63" fillId="21" borderId="18" xfId="95" applyFont="1" applyFill="1" applyBorder="1" applyAlignment="1" applyProtection="1">
      <alignment horizontal="center" vertical="center" wrapText="1"/>
      <protection hidden="1"/>
    </xf>
    <xf numFmtId="0" fontId="63" fillId="21" borderId="7" xfId="95" applyFont="1" applyFill="1" applyBorder="1" applyAlignment="1" applyProtection="1">
      <alignment horizontal="center" vertical="center" wrapText="1"/>
      <protection hidden="1"/>
    </xf>
    <xf numFmtId="3" fontId="63" fillId="21" borderId="7" xfId="76" applyNumberFormat="1" applyFont="1" applyFill="1" applyBorder="1" applyAlignment="1" applyProtection="1">
      <alignment horizontal="justify" vertical="center" wrapText="1"/>
      <protection hidden="1"/>
    </xf>
    <xf numFmtId="0" fontId="63" fillId="21" borderId="35" xfId="95" applyFont="1" applyFill="1" applyBorder="1" applyAlignment="1" applyProtection="1">
      <alignment horizontal="center" vertical="center"/>
      <protection hidden="1"/>
    </xf>
    <xf numFmtId="4" fontId="63" fillId="21" borderId="18" xfId="76" applyNumberFormat="1" applyFont="1" applyFill="1" applyBorder="1" applyAlignment="1" applyProtection="1">
      <alignment horizontal="center" vertical="center" wrapText="1"/>
      <protection hidden="1"/>
    </xf>
    <xf numFmtId="171" fontId="63" fillId="21" borderId="7" xfId="99" applyNumberFormat="1" applyFont="1" applyFill="1" applyBorder="1" applyAlignment="1" applyProtection="1">
      <alignment horizontal="center" vertical="center"/>
      <protection hidden="1"/>
    </xf>
    <xf numFmtId="171" fontId="63" fillId="21" borderId="7" xfId="76" applyNumberFormat="1" applyFont="1" applyFill="1" applyBorder="1" applyAlignment="1" applyProtection="1">
      <alignment horizontal="center" vertical="center" wrapText="1"/>
      <protection hidden="1"/>
    </xf>
    <xf numFmtId="171" fontId="63" fillId="21" borderId="35" xfId="99" applyNumberFormat="1" applyFont="1" applyFill="1" applyBorder="1" applyAlignment="1" applyProtection="1">
      <alignment horizontal="center" vertical="center"/>
      <protection hidden="1"/>
    </xf>
    <xf numFmtId="3" fontId="63" fillId="21" borderId="19" xfId="101" applyNumberFormat="1" applyFont="1" applyFill="1" applyBorder="1" applyAlignment="1" applyProtection="1">
      <alignment horizontal="center" vertical="center"/>
      <protection hidden="1"/>
    </xf>
    <xf numFmtId="178" fontId="63" fillId="21" borderId="7" xfId="99" applyNumberFormat="1" applyFont="1" applyFill="1" applyBorder="1" applyAlignment="1" applyProtection="1">
      <alignment horizontal="right" vertical="center" wrapText="1"/>
      <protection hidden="1"/>
    </xf>
    <xf numFmtId="178" fontId="63" fillId="21" borderId="37" xfId="99" applyNumberFormat="1" applyFont="1" applyFill="1" applyBorder="1" applyAlignment="1" applyProtection="1">
      <alignment horizontal="right" vertical="center"/>
      <protection hidden="1"/>
    </xf>
    <xf numFmtId="178" fontId="63" fillId="21" borderId="20" xfId="99" applyNumberFormat="1" applyFont="1" applyFill="1" applyBorder="1" applyAlignment="1" applyProtection="1">
      <alignment horizontal="right" vertical="center"/>
      <protection hidden="1"/>
    </xf>
    <xf numFmtId="0" fontId="63" fillId="21" borderId="0" xfId="101" applyFont="1" applyFill="1" applyAlignment="1" applyProtection="1">
      <alignment vertical="center"/>
      <protection hidden="1"/>
    </xf>
    <xf numFmtId="178" fontId="64" fillId="10" borderId="39" xfId="99" applyNumberFormat="1" applyFont="1" applyFill="1" applyBorder="1" applyAlignment="1" applyProtection="1">
      <alignment horizontal="right" vertical="center"/>
      <protection hidden="1"/>
    </xf>
    <xf numFmtId="178" fontId="64" fillId="0" borderId="40" xfId="99" applyNumberFormat="1" applyFont="1" applyBorder="1" applyAlignment="1" applyProtection="1">
      <alignment horizontal="right" vertical="center"/>
      <protection hidden="1"/>
    </xf>
    <xf numFmtId="178" fontId="64" fillId="0" borderId="40" xfId="99" applyNumberFormat="1" applyFont="1" applyBorder="1" applyAlignment="1" applyProtection="1">
      <alignment vertical="center"/>
      <protection hidden="1"/>
    </xf>
    <xf numFmtId="178" fontId="64" fillId="0" borderId="38" xfId="99" applyNumberFormat="1" applyFont="1" applyBorder="1" applyAlignment="1" applyProtection="1">
      <alignment vertical="center"/>
      <protection hidden="1"/>
    </xf>
    <xf numFmtId="178" fontId="64" fillId="10" borderId="15" xfId="99" applyNumberFormat="1" applyFont="1" applyFill="1" applyBorder="1" applyAlignment="1" applyProtection="1">
      <alignment vertical="center"/>
      <protection hidden="1"/>
    </xf>
    <xf numFmtId="178" fontId="64" fillId="0" borderId="39" xfId="99" applyNumberFormat="1" applyFont="1" applyBorder="1" applyAlignment="1" applyProtection="1">
      <alignment vertical="center"/>
      <protection hidden="1"/>
    </xf>
    <xf numFmtId="178" fontId="64" fillId="0" borderId="7" xfId="99" applyNumberFormat="1" applyFont="1" applyBorder="1" applyAlignment="1" applyProtection="1">
      <alignment vertical="center"/>
      <protection hidden="1"/>
    </xf>
    <xf numFmtId="205" fontId="64" fillId="0" borderId="39" xfId="99" applyNumberFormat="1" applyFont="1" applyBorder="1" applyAlignment="1" applyProtection="1">
      <alignment vertical="center"/>
      <protection hidden="1"/>
    </xf>
    <xf numFmtId="178" fontId="64" fillId="0" borderId="15" xfId="99" applyNumberFormat="1" applyFont="1" applyBorder="1" applyAlignment="1" applyProtection="1">
      <alignment vertical="center"/>
      <protection hidden="1"/>
    </xf>
    <xf numFmtId="178" fontId="64" fillId="0" borderId="52" xfId="99" applyNumberFormat="1" applyFont="1" applyBorder="1" applyAlignment="1" applyProtection="1">
      <alignment vertical="center"/>
      <protection hidden="1"/>
    </xf>
    <xf numFmtId="206" fontId="63" fillId="0" borderId="20" xfId="99" applyNumberFormat="1" applyFont="1" applyBorder="1" applyAlignment="1" applyProtection="1">
      <alignment horizontal="right" vertical="center"/>
      <protection hidden="1"/>
    </xf>
    <xf numFmtId="0" fontId="63" fillId="0" borderId="0" xfId="101" applyFont="1" applyAlignment="1" applyProtection="1">
      <alignment horizontal="center" vertical="center"/>
      <protection hidden="1"/>
    </xf>
    <xf numFmtId="171" fontId="63" fillId="0" borderId="0" xfId="101" applyNumberFormat="1" applyFont="1" applyAlignment="1" applyProtection="1">
      <alignment horizontal="justify" vertical="center"/>
      <protection hidden="1"/>
    </xf>
    <xf numFmtId="171" fontId="63" fillId="0" borderId="0" xfId="102" applyNumberFormat="1" applyFont="1" applyAlignment="1" applyProtection="1">
      <alignment horizontal="center" vertical="center"/>
      <protection hidden="1"/>
    </xf>
    <xf numFmtId="171" fontId="63" fillId="0" borderId="0" xfId="99" applyNumberFormat="1" applyFont="1" applyAlignment="1" applyProtection="1">
      <alignment horizontal="center" vertical="center"/>
      <protection hidden="1"/>
    </xf>
    <xf numFmtId="171" fontId="63" fillId="0" borderId="0" xfId="101" applyNumberFormat="1" applyFont="1" applyAlignment="1" applyProtection="1">
      <alignment horizontal="center" vertical="center"/>
      <protection hidden="1"/>
    </xf>
    <xf numFmtId="179" fontId="63" fillId="0" borderId="0" xfId="102" applyNumberFormat="1" applyFont="1" applyAlignment="1" applyProtection="1">
      <alignment horizontal="right" vertical="center"/>
      <protection hidden="1"/>
    </xf>
    <xf numFmtId="179" fontId="63" fillId="10" borderId="0" xfId="102" applyNumberFormat="1" applyFont="1" applyFill="1" applyAlignment="1" applyProtection="1">
      <alignment horizontal="right" vertical="center"/>
      <protection hidden="1"/>
    </xf>
    <xf numFmtId="178" fontId="65" fillId="0" borderId="0" xfId="101" applyNumberFormat="1" applyFont="1" applyAlignment="1" applyProtection="1">
      <alignment vertical="center"/>
      <protection hidden="1"/>
    </xf>
    <xf numFmtId="205" fontId="63" fillId="0" borderId="0" xfId="101" applyNumberFormat="1" applyFont="1" applyAlignment="1" applyProtection="1">
      <alignment vertical="center"/>
      <protection hidden="1"/>
    </xf>
    <xf numFmtId="43" fontId="63" fillId="0" borderId="0" xfId="35" applyFont="1" applyAlignment="1" applyProtection="1">
      <alignment vertical="center"/>
      <protection hidden="1"/>
    </xf>
    <xf numFmtId="0" fontId="63" fillId="0" borderId="7" xfId="101" applyFont="1" applyBorder="1" applyAlignment="1" applyProtection="1">
      <alignment horizontal="justify" vertical="center"/>
      <protection hidden="1"/>
    </xf>
    <xf numFmtId="178" fontId="64" fillId="0" borderId="0" xfId="99" applyNumberFormat="1" applyFont="1" applyAlignment="1" applyProtection="1">
      <alignment vertical="center"/>
      <protection hidden="1"/>
    </xf>
    <xf numFmtId="0" fontId="63" fillId="10" borderId="0" xfId="101" applyFont="1" applyFill="1" applyAlignment="1" applyProtection="1">
      <alignment horizontal="center" vertical="center"/>
      <protection hidden="1"/>
    </xf>
    <xf numFmtId="178" fontId="63" fillId="10" borderId="0" xfId="101" applyNumberFormat="1" applyFont="1" applyFill="1" applyAlignment="1" applyProtection="1">
      <alignment horizontal="center" vertical="center"/>
      <protection hidden="1"/>
    </xf>
    <xf numFmtId="0" fontId="67" fillId="22" borderId="8" xfId="0" applyFont="1" applyFill="1" applyBorder="1" applyAlignment="1" applyProtection="1">
      <alignment horizontal="center" vertical="center"/>
      <protection hidden="1"/>
    </xf>
    <xf numFmtId="0" fontId="67" fillId="22" borderId="53" xfId="0" applyFont="1" applyFill="1" applyBorder="1" applyAlignment="1" applyProtection="1">
      <alignment horizontal="center" vertical="center"/>
      <protection hidden="1"/>
    </xf>
    <xf numFmtId="178" fontId="63" fillId="10" borderId="0" xfId="101" applyNumberFormat="1" applyFont="1" applyFill="1" applyAlignment="1" applyProtection="1">
      <alignment horizontal="justify" vertical="center"/>
      <protection hidden="1"/>
    </xf>
    <xf numFmtId="171" fontId="63" fillId="10" borderId="0" xfId="102" applyNumberFormat="1" applyFont="1" applyFill="1" applyAlignment="1" applyProtection="1">
      <alignment horizontal="center" vertical="center"/>
      <protection hidden="1"/>
    </xf>
    <xf numFmtId="171" fontId="63" fillId="10" borderId="0" xfId="99" applyNumberFormat="1" applyFont="1" applyFill="1" applyAlignment="1" applyProtection="1">
      <alignment horizontal="center" vertical="center"/>
      <protection hidden="1"/>
    </xf>
    <xf numFmtId="171" fontId="63" fillId="12" borderId="0" xfId="99" applyNumberFormat="1" applyFont="1" applyFill="1" applyAlignment="1" applyProtection="1">
      <alignment horizontal="center" vertical="center"/>
      <protection hidden="1"/>
    </xf>
    <xf numFmtId="171" fontId="63" fillId="10" borderId="0" xfId="101" applyNumberFormat="1" applyFont="1" applyFill="1" applyAlignment="1" applyProtection="1">
      <alignment horizontal="center" vertical="center"/>
      <protection hidden="1"/>
    </xf>
    <xf numFmtId="178" fontId="63" fillId="10" borderId="0" xfId="101" applyNumberFormat="1" applyFont="1" applyFill="1" applyAlignment="1" applyProtection="1">
      <alignment vertical="center"/>
      <protection hidden="1"/>
    </xf>
    <xf numFmtId="0" fontId="63" fillId="10" borderId="0" xfId="101" applyFont="1" applyFill="1" applyAlignment="1" applyProtection="1">
      <alignment horizontal="justify" vertical="center"/>
      <protection hidden="1"/>
    </xf>
    <xf numFmtId="210" fontId="63" fillId="10" borderId="0" xfId="101" applyNumberFormat="1" applyFont="1" applyFill="1" applyAlignment="1" applyProtection="1">
      <alignment vertical="center"/>
      <protection hidden="1"/>
    </xf>
    <xf numFmtId="180" fontId="64" fillId="10" borderId="0" xfId="101" applyNumberFormat="1" applyFont="1" applyFill="1" applyAlignment="1" applyProtection="1">
      <alignment vertical="center"/>
      <protection hidden="1"/>
    </xf>
    <xf numFmtId="0" fontId="64" fillId="10" borderId="0" xfId="101" quotePrefix="1" applyFont="1" applyFill="1" applyAlignment="1" applyProtection="1">
      <alignment vertical="center"/>
      <protection hidden="1"/>
    </xf>
    <xf numFmtId="205" fontId="64" fillId="10" borderId="0" xfId="101" applyNumberFormat="1" applyFont="1" applyFill="1" applyAlignment="1" applyProtection="1">
      <alignment vertical="center"/>
      <protection hidden="1"/>
    </xf>
    <xf numFmtId="176" fontId="9" fillId="10" borderId="7" xfId="76" applyNumberFormat="1" applyFill="1" applyBorder="1" applyAlignment="1" applyProtection="1">
      <alignment horizontal="center" vertical="center" wrapText="1"/>
      <protection hidden="1"/>
    </xf>
    <xf numFmtId="209" fontId="63" fillId="10" borderId="0" xfId="101" applyNumberFormat="1" applyFont="1" applyFill="1" applyAlignment="1" applyProtection="1">
      <alignment vertical="center"/>
      <protection hidden="1"/>
    </xf>
    <xf numFmtId="180" fontId="63" fillId="10" borderId="0" xfId="101" applyNumberFormat="1" applyFont="1" applyFill="1" applyAlignment="1" applyProtection="1">
      <alignment vertical="center"/>
      <protection hidden="1"/>
    </xf>
    <xf numFmtId="210" fontId="63" fillId="0" borderId="0" xfId="101" applyNumberFormat="1" applyFont="1" applyAlignment="1" applyProtection="1">
      <alignment vertical="center"/>
      <protection hidden="1"/>
    </xf>
    <xf numFmtId="206" fontId="63" fillId="10" borderId="0" xfId="101" applyNumberFormat="1" applyFont="1" applyFill="1" applyAlignment="1" applyProtection="1">
      <alignment vertical="center"/>
      <protection hidden="1"/>
    </xf>
    <xf numFmtId="171" fontId="63" fillId="10" borderId="7" xfId="99" applyNumberFormat="1" applyFont="1" applyFill="1" applyBorder="1" applyAlignment="1" applyProtection="1">
      <alignment horizontal="center" vertical="center"/>
      <protection hidden="1"/>
    </xf>
    <xf numFmtId="0" fontId="9" fillId="0" borderId="0" xfId="97" applyAlignment="1" applyProtection="1">
      <alignment vertical="center"/>
      <protection locked="0"/>
    </xf>
    <xf numFmtId="0" fontId="10" fillId="0" borderId="0" xfId="97" applyFont="1" applyAlignment="1" applyProtection="1">
      <alignment horizontal="left" vertical="center"/>
      <protection locked="0"/>
    </xf>
    <xf numFmtId="0" fontId="9" fillId="0" borderId="0" xfId="97" applyAlignment="1" applyProtection="1">
      <alignment horizontal="center" vertical="center"/>
      <protection locked="0"/>
    </xf>
    <xf numFmtId="0" fontId="9" fillId="25" borderId="0" xfId="97" applyFill="1" applyAlignment="1" applyProtection="1">
      <alignment horizontal="center" vertical="center"/>
      <protection locked="0"/>
    </xf>
    <xf numFmtId="0" fontId="10" fillId="0" borderId="0" xfId="97" applyFont="1" applyAlignment="1" applyProtection="1">
      <alignment vertical="center"/>
      <protection locked="0"/>
    </xf>
    <xf numFmtId="0" fontId="10" fillId="0" borderId="0" xfId="0" applyFont="1" applyAlignment="1" applyProtection="1">
      <alignment horizontal="center" vertical="center" wrapText="1"/>
      <protection locked="0"/>
    </xf>
    <xf numFmtId="0" fontId="9" fillId="0" borderId="0" xfId="97" applyAlignment="1" applyProtection="1">
      <alignment vertical="center" wrapText="1"/>
      <protection locked="0"/>
    </xf>
    <xf numFmtId="0" fontId="10" fillId="0" borderId="0" xfId="97"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9" fillId="0" borderId="0" xfId="97" applyProtection="1">
      <protection locked="0"/>
    </xf>
    <xf numFmtId="0" fontId="10" fillId="0" borderId="0" xfId="97" applyFont="1" applyAlignment="1" applyProtection="1">
      <alignment horizontal="center"/>
      <protection locked="0"/>
    </xf>
    <xf numFmtId="170" fontId="10" fillId="0" borderId="0" xfId="97" applyNumberFormat="1" applyFont="1" applyAlignment="1" applyProtection="1">
      <alignment horizontal="center"/>
      <protection locked="0"/>
    </xf>
    <xf numFmtId="0" fontId="0" fillId="0" borderId="0" xfId="97" applyFont="1" applyAlignment="1" applyProtection="1">
      <alignment horizontal="center" vertical="center"/>
      <protection locked="0"/>
    </xf>
    <xf numFmtId="0" fontId="9" fillId="25" borderId="0" xfId="97" applyFill="1" applyAlignment="1" applyProtection="1">
      <alignment vertical="center"/>
      <protection locked="0"/>
    </xf>
    <xf numFmtId="0" fontId="0" fillId="0" borderId="0" xfId="97" applyFont="1" applyAlignment="1" applyProtection="1">
      <alignment horizontal="right" vertical="center"/>
      <protection locked="0"/>
    </xf>
    <xf numFmtId="0" fontId="8" fillId="0" borderId="0" xfId="97" applyFont="1" applyAlignment="1" applyProtection="1">
      <alignment horizontal="left" vertical="center"/>
      <protection locked="0"/>
    </xf>
    <xf numFmtId="0" fontId="10" fillId="4" borderId="7" xfId="97" applyFont="1" applyFill="1" applyBorder="1" applyAlignment="1" applyProtection="1">
      <alignment horizontal="center" vertical="center" wrapText="1"/>
      <protection hidden="1"/>
    </xf>
    <xf numFmtId="0" fontId="10" fillId="25" borderId="7" xfId="97" applyFont="1" applyFill="1" applyBorder="1" applyAlignment="1" applyProtection="1">
      <alignment horizontal="center" vertical="center" wrapText="1"/>
      <protection hidden="1"/>
    </xf>
    <xf numFmtId="0" fontId="10" fillId="4" borderId="7"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17" fontId="10" fillId="6" borderId="7" xfId="0" applyNumberFormat="1" applyFont="1" applyFill="1" applyBorder="1" applyAlignment="1" applyProtection="1">
      <alignment horizontal="center" vertical="center" wrapText="1"/>
      <protection hidden="1"/>
    </xf>
    <xf numFmtId="0" fontId="10" fillId="3" borderId="7" xfId="0" applyFont="1" applyFill="1" applyBorder="1" applyAlignment="1" applyProtection="1">
      <alignment horizontal="center" vertical="center" wrapText="1"/>
      <protection hidden="1"/>
    </xf>
    <xf numFmtId="0" fontId="10" fillId="2" borderId="7" xfId="0" applyFont="1" applyFill="1" applyBorder="1" applyAlignment="1" applyProtection="1">
      <alignment horizontal="center" vertical="center" wrapText="1"/>
      <protection hidden="1"/>
    </xf>
    <xf numFmtId="0" fontId="10" fillId="5" borderId="7" xfId="0" applyFont="1" applyFill="1" applyBorder="1" applyAlignment="1" applyProtection="1">
      <alignment horizontal="center" vertical="center" wrapText="1"/>
      <protection hidden="1"/>
    </xf>
    <xf numFmtId="0" fontId="10" fillId="7" borderId="7" xfId="0" applyFont="1" applyFill="1" applyBorder="1" applyAlignment="1" applyProtection="1">
      <alignment horizontal="center" vertical="center" wrapText="1"/>
      <protection hidden="1"/>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0" fillId="0" borderId="7" xfId="0"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0" xfId="97" applyAlignment="1" applyProtection="1">
      <alignment horizontal="center" vertical="center"/>
      <protection hidden="1"/>
    </xf>
    <xf numFmtId="0" fontId="9" fillId="10" borderId="20" xfId="97" applyFill="1" applyBorder="1" applyAlignment="1" applyProtection="1">
      <alignment horizontal="center" vertical="center"/>
      <protection hidden="1"/>
    </xf>
    <xf numFmtId="0" fontId="10" fillId="0" borderId="0" xfId="97" applyFont="1" applyAlignment="1" applyProtection="1">
      <alignment horizontal="center" vertical="center"/>
      <protection hidden="1"/>
    </xf>
    <xf numFmtId="0" fontId="10" fillId="0" borderId="0" xfId="97" applyFont="1" applyAlignment="1" applyProtection="1">
      <alignment vertical="center"/>
      <protection hidden="1"/>
    </xf>
    <xf numFmtId="0" fontId="10" fillId="0" borderId="56" xfId="97" applyFont="1" applyBorder="1" applyAlignment="1" applyProtection="1">
      <alignment horizontal="center" vertical="center"/>
      <protection hidden="1"/>
    </xf>
    <xf numFmtId="0" fontId="9" fillId="0" borderId="0" xfId="97" applyAlignment="1" applyProtection="1">
      <alignment vertical="center"/>
      <protection hidden="1"/>
    </xf>
    <xf numFmtId="0" fontId="10" fillId="0" borderId="0" xfId="97" applyFont="1" applyAlignment="1" applyProtection="1">
      <alignment vertical="center" wrapText="1"/>
      <protection hidden="1"/>
    </xf>
    <xf numFmtId="169" fontId="9" fillId="0" borderId="0" xfId="0" applyNumberFormat="1" applyFont="1" applyAlignment="1" applyProtection="1">
      <alignment horizontal="center" vertical="center"/>
      <protection hidden="1"/>
    </xf>
    <xf numFmtId="170" fontId="9" fillId="0" borderId="0" xfId="97" applyNumberFormat="1" applyAlignment="1" applyProtection="1">
      <alignment horizontal="center"/>
      <protection hidden="1"/>
    </xf>
    <xf numFmtId="0" fontId="9" fillId="0" borderId="0" xfId="97" applyAlignment="1" applyProtection="1">
      <alignment horizontal="center"/>
      <protection hidden="1"/>
    </xf>
    <xf numFmtId="0" fontId="9" fillId="0" borderId="0" xfId="97" applyProtection="1">
      <protection hidden="1"/>
    </xf>
    <xf numFmtId="2" fontId="9" fillId="0" borderId="0" xfId="97" applyNumberFormat="1" applyAlignment="1" applyProtection="1">
      <alignment horizontal="center"/>
      <protection hidden="1"/>
    </xf>
    <xf numFmtId="1" fontId="10" fillId="0" borderId="0" xfId="97" applyNumberFormat="1" applyFont="1" applyAlignment="1" applyProtection="1">
      <alignment vertical="center"/>
      <protection hidden="1"/>
    </xf>
    <xf numFmtId="0" fontId="9" fillId="0" borderId="55" xfId="97" applyBorder="1" applyAlignment="1" applyProtection="1">
      <alignment horizontal="center" vertical="center"/>
      <protection hidden="1"/>
    </xf>
    <xf numFmtId="0" fontId="10" fillId="4" borderId="7" xfId="97" applyFont="1" applyFill="1" applyBorder="1" applyAlignment="1" applyProtection="1">
      <alignment horizontal="center" vertical="center"/>
      <protection hidden="1"/>
    </xf>
    <xf numFmtId="0" fontId="10" fillId="25" borderId="7" xfId="97" applyFont="1" applyFill="1" applyBorder="1" applyAlignment="1" applyProtection="1">
      <alignment horizontal="center" vertical="center"/>
      <protection hidden="1"/>
    </xf>
    <xf numFmtId="0" fontId="30" fillId="0" borderId="7" xfId="97" applyFont="1" applyBorder="1" applyAlignment="1" applyProtection="1">
      <alignment horizontal="center" vertical="center"/>
      <protection hidden="1"/>
    </xf>
    <xf numFmtId="0" fontId="10" fillId="0" borderId="7" xfId="97" applyFont="1" applyBorder="1" applyAlignment="1" applyProtection="1">
      <alignment horizontal="center" vertical="center"/>
      <protection hidden="1"/>
    </xf>
    <xf numFmtId="1" fontId="9" fillId="25" borderId="0" xfId="97" applyNumberFormat="1" applyFill="1" applyAlignment="1" applyProtection="1">
      <alignment horizontal="center" vertical="center"/>
      <protection hidden="1"/>
    </xf>
    <xf numFmtId="0" fontId="9" fillId="25" borderId="0" xfId="97" applyFill="1" applyAlignment="1" applyProtection="1">
      <alignment horizontal="center" vertical="center"/>
      <protection hidden="1"/>
    </xf>
    <xf numFmtId="0" fontId="30" fillId="0" borderId="0" xfId="97" applyFont="1" applyAlignment="1" applyProtection="1">
      <alignment horizontal="center" vertical="center"/>
      <protection hidden="1"/>
    </xf>
    <xf numFmtId="0" fontId="31" fillId="0" borderId="0" xfId="97" applyFont="1" applyAlignment="1" applyProtection="1">
      <alignment horizontal="center" vertical="center"/>
      <protection hidden="1"/>
    </xf>
    <xf numFmtId="0" fontId="21" fillId="0" borderId="0" xfId="97" applyFont="1" applyProtection="1">
      <protection hidden="1"/>
    </xf>
    <xf numFmtId="0" fontId="21" fillId="0" borderId="0" xfId="97" applyFont="1" applyAlignment="1" applyProtection="1">
      <alignment horizontal="center"/>
      <protection hidden="1"/>
    </xf>
    <xf numFmtId="0" fontId="10" fillId="0" borderId="0" xfId="97" applyFont="1" applyAlignment="1" applyProtection="1">
      <alignment horizontal="center"/>
      <protection hidden="1"/>
    </xf>
    <xf numFmtId="0" fontId="9" fillId="25" borderId="0" xfId="97" applyFill="1" applyProtection="1">
      <protection hidden="1"/>
    </xf>
    <xf numFmtId="0" fontId="21" fillId="25" borderId="0" xfId="97" applyFont="1" applyFill="1" applyProtection="1">
      <protection hidden="1"/>
    </xf>
    <xf numFmtId="0" fontId="0" fillId="0" borderId="0" xfId="97" applyFont="1" applyProtection="1">
      <protection hidden="1"/>
    </xf>
    <xf numFmtId="3" fontId="10" fillId="4" borderId="57" xfId="97" applyNumberFormat="1" applyFont="1" applyFill="1" applyBorder="1" applyAlignment="1" applyProtection="1">
      <alignment horizontal="center" vertical="center"/>
      <protection hidden="1"/>
    </xf>
    <xf numFmtId="3" fontId="10" fillId="4" borderId="8" xfId="97" applyNumberFormat="1" applyFont="1" applyFill="1" applyBorder="1" applyAlignment="1" applyProtection="1">
      <alignment horizontal="center" vertical="center"/>
      <protection hidden="1"/>
    </xf>
    <xf numFmtId="0" fontId="9" fillId="0" borderId="19" xfId="97" applyBorder="1" applyAlignment="1" applyProtection="1">
      <alignment horizontal="center"/>
      <protection hidden="1"/>
    </xf>
    <xf numFmtId="0" fontId="9" fillId="0" borderId="58" xfId="97" applyBorder="1" applyAlignment="1" applyProtection="1">
      <alignment horizontal="center"/>
      <protection hidden="1"/>
    </xf>
    <xf numFmtId="0" fontId="10" fillId="4" borderId="35" xfId="0" applyFont="1" applyFill="1" applyBorder="1" applyAlignment="1" applyProtection="1">
      <alignment vertical="center"/>
      <protection hidden="1"/>
    </xf>
    <xf numFmtId="0" fontId="10" fillId="4" borderId="7" xfId="0" applyFont="1" applyFill="1" applyBorder="1" applyAlignment="1" applyProtection="1">
      <alignment horizontal="center" vertical="center"/>
      <protection hidden="1"/>
    </xf>
    <xf numFmtId="0" fontId="9" fillId="0" borderId="14" xfId="97" applyBorder="1" applyAlignment="1" applyProtection="1">
      <alignment horizontal="center"/>
      <protection hidden="1"/>
    </xf>
    <xf numFmtId="0" fontId="9" fillId="0" borderId="59" xfId="97" applyBorder="1" applyAlignment="1" applyProtection="1">
      <alignment horizontal="center"/>
      <protection hidden="1"/>
    </xf>
    <xf numFmtId="0" fontId="10" fillId="8" borderId="35" xfId="0" applyFont="1" applyFill="1" applyBorder="1" applyAlignment="1" applyProtection="1">
      <alignment vertical="center"/>
      <protection hidden="1"/>
    </xf>
    <xf numFmtId="0" fontId="10" fillId="8" borderId="7" xfId="0" applyFont="1" applyFill="1" applyBorder="1" applyAlignment="1" applyProtection="1">
      <alignment horizontal="center" vertical="center"/>
      <protection hidden="1"/>
    </xf>
    <xf numFmtId="0" fontId="10" fillId="5" borderId="35" xfId="0" applyFont="1" applyFill="1" applyBorder="1" applyAlignment="1" applyProtection="1">
      <alignment vertical="center"/>
      <protection hidden="1"/>
    </xf>
    <xf numFmtId="3" fontId="10" fillId="5" borderId="7" xfId="0" applyNumberFormat="1" applyFont="1" applyFill="1" applyBorder="1" applyAlignment="1" applyProtection="1">
      <alignment horizontal="center" vertical="center"/>
      <protection hidden="1"/>
    </xf>
    <xf numFmtId="3" fontId="10" fillId="4" borderId="29" xfId="97" applyNumberFormat="1"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24" xfId="97" applyBorder="1" applyAlignment="1" applyProtection="1">
      <alignment horizontal="center" vertical="center"/>
      <protection hidden="1"/>
    </xf>
    <xf numFmtId="3" fontId="10" fillId="4" borderId="41" xfId="97" applyNumberFormat="1" applyFont="1" applyFill="1" applyBorder="1" applyAlignment="1" applyProtection="1">
      <alignment horizontal="center" vertical="center" wrapText="1"/>
      <protection hidden="1"/>
    </xf>
    <xf numFmtId="0" fontId="9" fillId="0" borderId="34" xfId="97" applyBorder="1" applyAlignment="1" applyProtection="1">
      <alignment horizontal="center" vertical="center"/>
      <protection hidden="1"/>
    </xf>
    <xf numFmtId="0" fontId="9" fillId="0" borderId="20" xfId="97" applyBorder="1" applyAlignment="1" applyProtection="1">
      <alignment horizontal="center" vertical="center"/>
      <protection hidden="1"/>
    </xf>
    <xf numFmtId="3" fontId="10" fillId="4" borderId="18" xfId="97" applyNumberFormat="1" applyFont="1" applyFill="1" applyBorder="1" applyAlignment="1" applyProtection="1">
      <alignment horizontal="center" vertical="center" wrapText="1"/>
      <protection hidden="1"/>
    </xf>
    <xf numFmtId="0" fontId="10" fillId="0" borderId="15" xfId="97" applyFont="1" applyBorder="1" applyAlignment="1" applyProtection="1">
      <alignment horizontal="center" vertical="center"/>
      <protection hidden="1"/>
    </xf>
    <xf numFmtId="3" fontId="10" fillId="4" borderId="38" xfId="97" applyNumberFormat="1" applyFont="1" applyFill="1" applyBorder="1" applyAlignment="1" applyProtection="1">
      <alignment horizontal="center" vertical="center" wrapText="1"/>
      <protection hidden="1"/>
    </xf>
    <xf numFmtId="0" fontId="0" fillId="0" borderId="0" xfId="97" applyFont="1" applyAlignment="1" applyProtection="1">
      <alignment horizontal="center" vertical="center"/>
      <protection hidden="1"/>
    </xf>
    <xf numFmtId="0" fontId="10" fillId="0" borderId="60" xfId="96" applyFont="1" applyBorder="1" applyAlignment="1" applyProtection="1">
      <alignment horizontal="center" vertical="center" wrapText="1"/>
      <protection hidden="1"/>
    </xf>
    <xf numFmtId="3" fontId="10" fillId="0" borderId="61" xfId="96" applyNumberFormat="1" applyFont="1" applyBorder="1" applyAlignment="1" applyProtection="1">
      <alignment horizontal="center" vertical="center" wrapText="1"/>
      <protection hidden="1"/>
    </xf>
    <xf numFmtId="4" fontId="10" fillId="0" borderId="61" xfId="96" applyNumberFormat="1" applyFont="1" applyBorder="1" applyAlignment="1" applyProtection="1">
      <alignment horizontal="center" vertical="center" wrapText="1"/>
      <protection hidden="1"/>
    </xf>
    <xf numFmtId="176" fontId="10" fillId="0" borderId="61" xfId="96" applyNumberFormat="1" applyFont="1" applyBorder="1" applyAlignment="1" applyProtection="1">
      <alignment horizontal="center" vertical="center" wrapText="1"/>
      <protection hidden="1"/>
    </xf>
    <xf numFmtId="176" fontId="10" fillId="0" borderId="62" xfId="96" applyNumberFormat="1" applyFont="1" applyBorder="1" applyAlignment="1" applyProtection="1">
      <alignment horizontal="center" vertical="center" wrapText="1"/>
      <protection hidden="1"/>
    </xf>
    <xf numFmtId="0" fontId="10" fillId="0" borderId="63" xfId="96" applyFont="1" applyBorder="1" applyAlignment="1" applyProtection="1">
      <alignment horizontal="center" vertical="center" wrapText="1"/>
      <protection hidden="1"/>
    </xf>
    <xf numFmtId="3" fontId="10" fillId="0" borderId="63" xfId="96" applyNumberFormat="1" applyFont="1" applyBorder="1" applyAlignment="1" applyProtection="1">
      <alignment horizontal="center" vertical="center"/>
      <protection hidden="1"/>
    </xf>
    <xf numFmtId="4" fontId="10" fillId="0" borderId="63" xfId="96" applyNumberFormat="1" applyFont="1" applyBorder="1" applyAlignment="1" applyProtection="1">
      <alignment vertical="center"/>
      <protection hidden="1"/>
    </xf>
    <xf numFmtId="176" fontId="10" fillId="0" borderId="63" xfId="96" applyNumberFormat="1" applyFont="1" applyBorder="1" applyAlignment="1" applyProtection="1">
      <alignment vertical="center"/>
      <protection hidden="1"/>
    </xf>
    <xf numFmtId="176" fontId="10" fillId="0" borderId="63" xfId="96" applyNumberFormat="1" applyFont="1" applyBorder="1" applyAlignment="1" applyProtection="1">
      <alignment horizontal="center" vertical="center"/>
      <protection hidden="1"/>
    </xf>
    <xf numFmtId="176" fontId="10" fillId="0" borderId="65" xfId="48" applyNumberFormat="1" applyFont="1" applyBorder="1" applyAlignment="1" applyProtection="1">
      <alignment horizontal="right" vertical="center"/>
      <protection hidden="1"/>
    </xf>
    <xf numFmtId="3" fontId="10" fillId="0" borderId="66" xfId="96" applyNumberFormat="1" applyFont="1" applyBorder="1" applyAlignment="1" applyProtection="1">
      <alignment horizontal="left" vertical="center"/>
      <protection hidden="1"/>
    </xf>
    <xf numFmtId="176" fontId="10" fillId="0" borderId="61" xfId="96" applyNumberFormat="1" applyFont="1" applyBorder="1" applyAlignment="1" applyProtection="1">
      <alignment vertical="center"/>
      <protection hidden="1"/>
    </xf>
    <xf numFmtId="176" fontId="10" fillId="0" borderId="62" xfId="48" applyNumberFormat="1" applyFont="1" applyBorder="1" applyAlignment="1" applyProtection="1">
      <alignment horizontal="right" vertical="center"/>
      <protection hidden="1"/>
    </xf>
    <xf numFmtId="3" fontId="10" fillId="0" borderId="0" xfId="96" applyNumberFormat="1" applyFont="1" applyAlignment="1" applyProtection="1">
      <alignment horizontal="left" vertical="center"/>
      <protection hidden="1"/>
    </xf>
    <xf numFmtId="3" fontId="10" fillId="0" borderId="0" xfId="96" applyNumberFormat="1" applyFont="1" applyAlignment="1" applyProtection="1">
      <alignment horizontal="center" vertical="center"/>
      <protection hidden="1"/>
    </xf>
    <xf numFmtId="4" fontId="10" fillId="0" borderId="0" xfId="96" applyNumberFormat="1" applyFont="1" applyAlignment="1" applyProtection="1">
      <alignment vertical="center"/>
      <protection hidden="1"/>
    </xf>
    <xf numFmtId="176" fontId="10" fillId="0" borderId="0" xfId="96" applyNumberFormat="1" applyFont="1" applyAlignment="1" applyProtection="1">
      <alignment vertical="center"/>
      <protection hidden="1"/>
    </xf>
    <xf numFmtId="176" fontId="10" fillId="0" borderId="0" xfId="96" applyNumberFormat="1" applyFont="1" applyAlignment="1" applyProtection="1">
      <alignment horizontal="right" vertical="center"/>
      <protection hidden="1"/>
    </xf>
    <xf numFmtId="0" fontId="10" fillId="0" borderId="0" xfId="96" applyFont="1" applyAlignment="1" applyProtection="1">
      <alignment horizontal="center" vertical="center"/>
      <protection hidden="1"/>
    </xf>
    <xf numFmtId="0" fontId="10" fillId="0" borderId="0" xfId="96" applyFont="1" applyAlignment="1" applyProtection="1">
      <alignment vertical="center"/>
      <protection hidden="1"/>
    </xf>
    <xf numFmtId="176" fontId="10" fillId="0" borderId="65" xfId="96" applyNumberFormat="1" applyFont="1" applyBorder="1" applyProtection="1">
      <protection hidden="1"/>
    </xf>
    <xf numFmtId="176" fontId="10" fillId="0" borderId="63" xfId="96" applyNumberFormat="1" applyFont="1" applyBorder="1" applyAlignment="1" applyProtection="1">
      <alignment horizontal="right" vertical="center"/>
      <protection hidden="1"/>
    </xf>
    <xf numFmtId="176" fontId="10" fillId="0" borderId="0" xfId="96" applyNumberFormat="1" applyFont="1" applyProtection="1">
      <protection hidden="1"/>
    </xf>
    <xf numFmtId="176" fontId="10" fillId="0" borderId="0" xfId="48" applyNumberFormat="1" applyFont="1" applyAlignment="1" applyProtection="1">
      <alignment horizontal="right" vertical="center"/>
      <protection hidden="1"/>
    </xf>
    <xf numFmtId="0" fontId="10" fillId="0" borderId="64" xfId="96" applyFont="1" applyBorder="1" applyAlignment="1" applyProtection="1">
      <alignment vertical="center"/>
      <protection hidden="1"/>
    </xf>
    <xf numFmtId="176" fontId="10" fillId="0" borderId="0" xfId="48" applyNumberFormat="1" applyFont="1" applyAlignment="1" applyProtection="1">
      <alignment vertical="center"/>
      <protection hidden="1"/>
    </xf>
    <xf numFmtId="176" fontId="10" fillId="0" borderId="65" xfId="48" applyNumberFormat="1" applyFont="1" applyBorder="1" applyAlignment="1" applyProtection="1">
      <alignment vertical="center"/>
      <protection hidden="1"/>
    </xf>
    <xf numFmtId="0" fontId="10" fillId="0" borderId="69" xfId="96" applyFont="1" applyBorder="1" applyAlignment="1" applyProtection="1">
      <alignment vertical="center"/>
      <protection hidden="1"/>
    </xf>
    <xf numFmtId="3" fontId="10" fillId="0" borderId="0" xfId="96" applyNumberFormat="1" applyFont="1" applyProtection="1">
      <protection hidden="1"/>
    </xf>
    <xf numFmtId="0" fontId="10" fillId="0" borderId="66" xfId="96" applyFont="1" applyBorder="1" applyAlignment="1" applyProtection="1">
      <alignment vertical="center"/>
      <protection hidden="1"/>
    </xf>
    <xf numFmtId="0" fontId="10" fillId="0" borderId="0" xfId="96" applyFont="1" applyProtection="1">
      <protection hidden="1"/>
    </xf>
    <xf numFmtId="3" fontId="10" fillId="0" borderId="64" xfId="96" applyNumberFormat="1" applyFont="1" applyBorder="1" applyAlignment="1" applyProtection="1">
      <alignment horizontal="left" vertical="center"/>
      <protection hidden="1"/>
    </xf>
    <xf numFmtId="3" fontId="61" fillId="0" borderId="0" xfId="96" applyNumberFormat="1" applyFont="1" applyProtection="1">
      <protection hidden="1"/>
    </xf>
    <xf numFmtId="176" fontId="61" fillId="0" borderId="0" xfId="96" applyNumberFormat="1" applyFont="1" applyProtection="1">
      <protection hidden="1"/>
    </xf>
    <xf numFmtId="0" fontId="61" fillId="0" borderId="0" xfId="96" applyFont="1" applyProtection="1">
      <protection hidden="1"/>
    </xf>
    <xf numFmtId="176" fontId="10" fillId="0" borderId="70" xfId="48" applyNumberFormat="1" applyFont="1" applyBorder="1" applyAlignment="1" applyProtection="1">
      <alignment horizontal="right" vertical="center"/>
      <protection hidden="1"/>
    </xf>
    <xf numFmtId="3" fontId="10" fillId="0" borderId="61" xfId="96" applyNumberFormat="1" applyFont="1" applyBorder="1" applyAlignment="1" applyProtection="1">
      <alignment horizontal="left" vertical="center"/>
      <protection hidden="1"/>
    </xf>
    <xf numFmtId="176" fontId="10" fillId="0" borderId="65" xfId="96" applyNumberFormat="1" applyFont="1" applyBorder="1" applyAlignment="1" applyProtection="1">
      <alignment horizontal="right" vertical="center"/>
      <protection hidden="1"/>
    </xf>
    <xf numFmtId="176" fontId="10" fillId="0" borderId="71" xfId="48" applyNumberFormat="1" applyFont="1" applyBorder="1" applyAlignment="1" applyProtection="1">
      <alignment horizontal="right" vertical="center"/>
      <protection hidden="1"/>
    </xf>
    <xf numFmtId="0" fontId="49" fillId="0" borderId="0" xfId="0" applyFont="1" applyProtection="1">
      <protection hidden="1"/>
    </xf>
    <xf numFmtId="0" fontId="50" fillId="0" borderId="72" xfId="0" applyFont="1" applyBorder="1" applyProtection="1">
      <protection hidden="1"/>
    </xf>
    <xf numFmtId="0" fontId="50" fillId="0" borderId="73" xfId="0" applyFont="1" applyBorder="1" applyProtection="1">
      <protection hidden="1"/>
    </xf>
    <xf numFmtId="0" fontId="51" fillId="0" borderId="73" xfId="0" applyFont="1" applyBorder="1" applyAlignment="1" applyProtection="1">
      <alignment horizontal="left" vertical="center"/>
      <protection hidden="1"/>
    </xf>
    <xf numFmtId="0" fontId="52" fillId="0" borderId="73" xfId="0" applyFont="1" applyBorder="1" applyAlignment="1" applyProtection="1">
      <alignment horizontal="left" vertical="center"/>
      <protection hidden="1"/>
    </xf>
    <xf numFmtId="0" fontId="49" fillId="0" borderId="73" xfId="0" applyFont="1" applyBorder="1" applyProtection="1">
      <protection hidden="1"/>
    </xf>
    <xf numFmtId="0" fontId="52" fillId="0" borderId="74" xfId="0" applyFont="1" applyBorder="1" applyAlignment="1" applyProtection="1">
      <alignment horizontal="center" vertical="center"/>
      <protection hidden="1"/>
    </xf>
    <xf numFmtId="0" fontId="50" fillId="0" borderId="75" xfId="0" applyFont="1" applyBorder="1" applyProtection="1">
      <protection hidden="1"/>
    </xf>
    <xf numFmtId="0" fontId="53" fillId="0" borderId="9" xfId="0" applyFont="1" applyBorder="1" applyAlignment="1" applyProtection="1">
      <alignment horizontal="left"/>
      <protection hidden="1"/>
    </xf>
    <xf numFmtId="0" fontId="53" fillId="0" borderId="0" xfId="0" applyFont="1" applyAlignment="1" applyProtection="1">
      <alignment horizontal="left" vertical="center"/>
      <protection hidden="1"/>
    </xf>
    <xf numFmtId="0" fontId="50" fillId="0" borderId="0" xfId="0" applyFont="1" applyProtection="1">
      <protection hidden="1"/>
    </xf>
    <xf numFmtId="0" fontId="50" fillId="0" borderId="0" xfId="0" applyFont="1" applyAlignment="1" applyProtection="1">
      <alignment horizontal="center" vertical="center"/>
      <protection hidden="1"/>
    </xf>
    <xf numFmtId="0" fontId="50" fillId="0" borderId="48" xfId="0" applyFont="1" applyBorder="1" applyAlignment="1" applyProtection="1">
      <alignment horizontal="center" vertical="center"/>
      <protection hidden="1"/>
    </xf>
    <xf numFmtId="0" fontId="50" fillId="0" borderId="76" xfId="0" applyFont="1" applyBorder="1" applyProtection="1">
      <protection hidden="1"/>
    </xf>
    <xf numFmtId="0" fontId="53" fillId="0" borderId="9" xfId="0" applyFont="1" applyBorder="1" applyProtection="1">
      <protection hidden="1"/>
    </xf>
    <xf numFmtId="0" fontId="53" fillId="0" borderId="0" xfId="0" applyFont="1" applyProtection="1">
      <protection hidden="1"/>
    </xf>
    <xf numFmtId="0" fontId="52" fillId="0" borderId="0" xfId="0" applyFont="1" applyProtection="1">
      <protection hidden="1"/>
    </xf>
    <xf numFmtId="0" fontId="53" fillId="0" borderId="48" xfId="0" applyFont="1" applyBorder="1" applyAlignment="1" applyProtection="1">
      <alignment horizontal="center" vertical="center"/>
      <protection hidden="1"/>
    </xf>
    <xf numFmtId="0" fontId="50" fillId="0" borderId="2" xfId="0" applyFont="1" applyBorder="1" applyProtection="1">
      <protection hidden="1"/>
    </xf>
    <xf numFmtId="0" fontId="50" fillId="0" borderId="9" xfId="0" applyFont="1" applyBorder="1" applyProtection="1">
      <protection hidden="1"/>
    </xf>
    <xf numFmtId="0" fontId="50" fillId="0" borderId="48" xfId="0" applyFont="1" applyBorder="1" applyProtection="1">
      <protection hidden="1"/>
    </xf>
    <xf numFmtId="0" fontId="53" fillId="0" borderId="48" xfId="0" applyFont="1" applyBorder="1" applyProtection="1">
      <protection hidden="1"/>
    </xf>
    <xf numFmtId="0" fontId="52" fillId="0" borderId="9" xfId="0" applyFont="1" applyBorder="1" applyProtection="1">
      <protection hidden="1"/>
    </xf>
    <xf numFmtId="0" fontId="49" fillId="0" borderId="2" xfId="0" applyFont="1" applyBorder="1" applyProtection="1">
      <protection hidden="1"/>
    </xf>
    <xf numFmtId="0" fontId="49" fillId="0" borderId="9" xfId="0" applyFont="1" applyBorder="1" applyProtection="1">
      <protection hidden="1"/>
    </xf>
    <xf numFmtId="0" fontId="49" fillId="0" borderId="48" xfId="0" applyFont="1" applyBorder="1" applyProtection="1">
      <protection hidden="1"/>
    </xf>
    <xf numFmtId="0" fontId="49" fillId="0" borderId="9" xfId="0" applyFont="1" applyBorder="1" applyAlignment="1" applyProtection="1">
      <alignment vertical="top"/>
      <protection hidden="1"/>
    </xf>
    <xf numFmtId="0" fontId="50" fillId="0" borderId="0" xfId="0" applyFont="1" applyAlignment="1" applyProtection="1">
      <alignment wrapText="1"/>
      <protection hidden="1"/>
    </xf>
    <xf numFmtId="0" fontId="52" fillId="0" borderId="48" xfId="0" applyFont="1" applyBorder="1" applyProtection="1">
      <protection hidden="1"/>
    </xf>
    <xf numFmtId="0" fontId="50" fillId="0" borderId="0" xfId="0" applyFont="1" applyAlignment="1" applyProtection="1">
      <alignment horizontal="justify" wrapText="1"/>
      <protection hidden="1"/>
    </xf>
    <xf numFmtId="0" fontId="49" fillId="0" borderId="48" xfId="0" applyFont="1" applyBorder="1" applyAlignment="1" applyProtection="1">
      <alignment horizontal="right"/>
      <protection hidden="1"/>
    </xf>
    <xf numFmtId="0" fontId="52" fillId="0" borderId="0" xfId="0" applyFont="1" applyAlignment="1" applyProtection="1">
      <alignment horizontal="right"/>
      <protection hidden="1"/>
    </xf>
    <xf numFmtId="9" fontId="53" fillId="0" borderId="48" xfId="0" applyNumberFormat="1" applyFont="1" applyBorder="1" applyAlignment="1" applyProtection="1">
      <alignment horizontal="center" vertical="center"/>
      <protection hidden="1"/>
    </xf>
    <xf numFmtId="9" fontId="53" fillId="0" borderId="48" xfId="0" applyNumberFormat="1" applyFont="1" applyBorder="1" applyAlignment="1" applyProtection="1">
      <alignment horizontal="right" vertical="center"/>
      <protection hidden="1"/>
    </xf>
    <xf numFmtId="0" fontId="54" fillId="0" borderId="0" xfId="0" applyFont="1" applyAlignment="1" applyProtection="1">
      <alignment horizontal="right" vertical="center"/>
      <protection hidden="1"/>
    </xf>
    <xf numFmtId="9" fontId="52" fillId="0" borderId="48" xfId="0" applyNumberFormat="1" applyFont="1" applyBorder="1" applyProtection="1">
      <protection hidden="1"/>
    </xf>
    <xf numFmtId="0" fontId="11" fillId="0" borderId="37" xfId="0" applyFont="1" applyBorder="1" applyAlignment="1" applyProtection="1">
      <alignment horizontal="center" vertical="center" wrapText="1"/>
      <protection hidden="1"/>
    </xf>
    <xf numFmtId="0" fontId="49" fillId="0" borderId="0" xfId="0" applyFont="1" applyAlignment="1" applyProtection="1">
      <alignment vertical="center"/>
      <protection hidden="1"/>
    </xf>
    <xf numFmtId="0" fontId="49" fillId="0" borderId="26" xfId="0" applyFont="1" applyBorder="1" applyAlignment="1" applyProtection="1">
      <alignment vertical="center"/>
      <protection hidden="1"/>
    </xf>
    <xf numFmtId="0" fontId="10" fillId="0" borderId="7" xfId="0" applyFont="1" applyBorder="1" applyAlignment="1" applyProtection="1">
      <alignment horizontal="center" vertical="center" wrapText="1"/>
      <protection hidden="1"/>
    </xf>
    <xf numFmtId="9" fontId="10" fillId="0" borderId="7" xfId="104" applyFont="1" applyFill="1" applyBorder="1" applyAlignment="1" applyProtection="1">
      <alignment horizontal="center" vertical="center" wrapText="1"/>
      <protection hidden="1"/>
    </xf>
    <xf numFmtId="0" fontId="9" fillId="0" borderId="7" xfId="0" applyFont="1" applyBorder="1" applyAlignment="1" applyProtection="1">
      <alignment wrapText="1"/>
      <protection hidden="1"/>
    </xf>
    <xf numFmtId="176" fontId="9" fillId="0" borderId="7" xfId="62" applyNumberFormat="1" applyFont="1" applyFill="1" applyBorder="1" applyAlignment="1" applyProtection="1">
      <alignment horizontal="center" vertical="center"/>
      <protection hidden="1"/>
    </xf>
    <xf numFmtId="174" fontId="9" fillId="0" borderId="7" xfId="0" applyNumberFormat="1" applyFont="1" applyBorder="1" applyAlignment="1" applyProtection="1">
      <alignment horizontal="center" vertical="center"/>
      <protection hidden="1"/>
    </xf>
    <xf numFmtId="4" fontId="9" fillId="0" borderId="7" xfId="0" applyNumberFormat="1" applyFont="1" applyBorder="1" applyAlignment="1" applyProtection="1">
      <alignment horizontal="center" vertical="center"/>
      <protection hidden="1"/>
    </xf>
    <xf numFmtId="2" fontId="9" fillId="0" borderId="7" xfId="0" applyNumberFormat="1" applyFont="1" applyBorder="1" applyAlignment="1" applyProtection="1">
      <alignment horizontal="center" vertical="center"/>
      <protection hidden="1"/>
    </xf>
    <xf numFmtId="176" fontId="10" fillId="0" borderId="7" xfId="62" applyNumberFormat="1" applyFont="1" applyFill="1" applyBorder="1" applyAlignment="1" applyProtection="1">
      <alignment horizontal="center" vertical="center"/>
      <protection hidden="1"/>
    </xf>
    <xf numFmtId="170" fontId="9" fillId="0" borderId="7" xfId="0" applyNumberFormat="1" applyFont="1" applyBorder="1" applyAlignment="1" applyProtection="1">
      <alignment horizontal="center" vertical="center"/>
      <protection hidden="1"/>
    </xf>
    <xf numFmtId="3" fontId="10" fillId="0" borderId="7" xfId="0" applyNumberFormat="1" applyFont="1" applyBorder="1" applyAlignment="1" applyProtection="1">
      <alignment horizontal="center"/>
      <protection hidden="1"/>
    </xf>
    <xf numFmtId="4" fontId="10" fillId="0" borderId="7" xfId="0" applyNumberFormat="1" applyFont="1" applyBorder="1" applyAlignment="1" applyProtection="1">
      <alignment horizontal="center" vertical="center"/>
      <protection hidden="1"/>
    </xf>
    <xf numFmtId="176" fontId="10" fillId="0" borderId="7" xfId="104" applyNumberFormat="1" applyFont="1" applyFill="1" applyBorder="1" applyAlignment="1" applyProtection="1">
      <alignment horizontal="center"/>
      <protection hidden="1"/>
    </xf>
    <xf numFmtId="176" fontId="9" fillId="0" borderId="7" xfId="104" applyNumberFormat="1" applyFont="1" applyFill="1" applyBorder="1" applyAlignment="1" applyProtection="1">
      <alignment horizontal="center"/>
      <protection hidden="1"/>
    </xf>
    <xf numFmtId="0" fontId="9" fillId="0" borderId="7" xfId="0" applyFont="1" applyBorder="1" applyAlignment="1" applyProtection="1">
      <alignment horizontal="center"/>
      <protection hidden="1"/>
    </xf>
    <xf numFmtId="0" fontId="10" fillId="0" borderId="7" xfId="0" applyFont="1" applyBorder="1" applyAlignment="1" applyProtection="1">
      <alignment horizontal="center"/>
      <protection hidden="1"/>
    </xf>
    <xf numFmtId="208" fontId="9" fillId="0" borderId="7" xfId="0" applyNumberFormat="1" applyFont="1" applyBorder="1" applyProtection="1">
      <protection hidden="1"/>
    </xf>
    <xf numFmtId="0" fontId="60" fillId="0" borderId="0" xfId="0" applyFont="1" applyAlignment="1" applyProtection="1">
      <alignment horizontal="center" vertical="center" wrapText="1"/>
      <protection hidden="1"/>
    </xf>
    <xf numFmtId="3" fontId="9" fillId="0" borderId="7" xfId="0" applyNumberFormat="1" applyFont="1" applyBorder="1" applyAlignment="1" applyProtection="1">
      <alignment horizontal="center" vertical="center"/>
      <protection hidden="1"/>
    </xf>
    <xf numFmtId="176" fontId="9" fillId="0" borderId="7" xfId="0" applyNumberFormat="1" applyFont="1" applyBorder="1"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176" fontId="9" fillId="0" borderId="0" xfId="0" applyNumberFormat="1" applyFont="1" applyAlignment="1" applyProtection="1">
      <alignment horizontal="center" vertical="center"/>
      <protection hidden="1"/>
    </xf>
    <xf numFmtId="0" fontId="60" fillId="0" borderId="7" xfId="0" applyFont="1" applyBorder="1" applyAlignment="1" applyProtection="1">
      <alignment horizontal="center" vertical="center" wrapText="1"/>
      <protection hidden="1"/>
    </xf>
    <xf numFmtId="0" fontId="9" fillId="0" borderId="0" xfId="96" applyProtection="1">
      <protection hidden="1"/>
    </xf>
    <xf numFmtId="3" fontId="9" fillId="0" borderId="0" xfId="96" applyNumberFormat="1" applyAlignment="1" applyProtection="1">
      <alignment horizontal="right" vertical="center"/>
      <protection hidden="1"/>
    </xf>
    <xf numFmtId="0" fontId="9" fillId="0" borderId="0" xfId="96" applyAlignment="1" applyProtection="1">
      <alignment horizontal="center" vertical="center"/>
      <protection hidden="1"/>
    </xf>
    <xf numFmtId="0" fontId="9" fillId="0" borderId="0" xfId="96" applyAlignment="1" applyProtection="1">
      <alignment vertical="center"/>
      <protection hidden="1"/>
    </xf>
    <xf numFmtId="0" fontId="9" fillId="0" borderId="0" xfId="96" applyAlignment="1" applyProtection="1">
      <alignment horizontal="left" vertical="center"/>
      <protection hidden="1"/>
    </xf>
    <xf numFmtId="3" fontId="9" fillId="0" borderId="0" xfId="96" applyNumberFormat="1" applyAlignment="1" applyProtection="1">
      <alignment vertical="center"/>
      <protection hidden="1"/>
    </xf>
    <xf numFmtId="175" fontId="9" fillId="0" borderId="0" xfId="96" applyNumberFormat="1" applyAlignment="1" applyProtection="1">
      <alignment horizontal="right" vertical="center"/>
      <protection hidden="1"/>
    </xf>
    <xf numFmtId="3" fontId="9" fillId="0" borderId="7" xfId="96" applyNumberFormat="1" applyBorder="1" applyAlignment="1" applyProtection="1">
      <alignment horizontal="left" vertical="center"/>
      <protection hidden="1"/>
    </xf>
    <xf numFmtId="0" fontId="9" fillId="0" borderId="7" xfId="96" applyBorder="1" applyProtection="1">
      <protection hidden="1"/>
    </xf>
    <xf numFmtId="0" fontId="9" fillId="0" borderId="0" xfId="96" applyAlignment="1" applyProtection="1">
      <alignment horizontal="center" vertical="center" wrapText="1"/>
      <protection hidden="1"/>
    </xf>
    <xf numFmtId="0" fontId="59" fillId="0" borderId="7" xfId="124" applyFont="1" applyBorder="1" applyAlignment="1">
      <alignment horizontal="justify" vertical="center" wrapText="1"/>
    </xf>
    <xf numFmtId="0" fontId="59" fillId="0" borderId="0" xfId="124" applyFont="1" applyAlignment="1">
      <alignment horizontal="center" vertical="center" wrapText="1"/>
    </xf>
    <xf numFmtId="0" fontId="59" fillId="0" borderId="0" xfId="124" applyFont="1" applyAlignment="1">
      <alignment horizontal="center" vertical="center"/>
    </xf>
    <xf numFmtId="0" fontId="59" fillId="0" borderId="0" xfId="124" applyFont="1"/>
    <xf numFmtId="0" fontId="57" fillId="27" borderId="7" xfId="124" applyFont="1" applyFill="1" applyBorder="1" applyAlignment="1">
      <alignment horizontal="center" vertical="center" wrapText="1"/>
    </xf>
    <xf numFmtId="0" fontId="57" fillId="0" borderId="7" xfId="124" applyFont="1" applyBorder="1" applyAlignment="1">
      <alignment vertical="center" wrapText="1"/>
    </xf>
    <xf numFmtId="0" fontId="59" fillId="10" borderId="7" xfId="124" applyFont="1" applyFill="1" applyBorder="1" applyAlignment="1">
      <alignment horizontal="justify" vertical="center" wrapText="1"/>
    </xf>
    <xf numFmtId="0" fontId="10" fillId="26" borderId="7" xfId="96" applyFont="1" applyFill="1" applyBorder="1" applyAlignment="1" applyProtection="1">
      <alignment horizontal="center" vertical="center" wrapText="1"/>
      <protection hidden="1"/>
    </xf>
    <xf numFmtId="3" fontId="10" fillId="26" borderId="7" xfId="96" applyNumberFormat="1" applyFont="1" applyFill="1" applyBorder="1" applyAlignment="1" applyProtection="1">
      <alignment horizontal="center" vertical="center" wrapText="1"/>
      <protection hidden="1"/>
    </xf>
    <xf numFmtId="176" fontId="10" fillId="26" borderId="7" xfId="96" applyNumberFormat="1" applyFont="1" applyFill="1" applyBorder="1" applyAlignment="1" applyProtection="1">
      <alignment horizontal="center" vertical="center" wrapText="1"/>
      <protection hidden="1"/>
    </xf>
    <xf numFmtId="176" fontId="59" fillId="0" borderId="7" xfId="96" applyNumberFormat="1" applyFont="1" applyBorder="1" applyAlignment="1" applyProtection="1">
      <alignment vertical="center"/>
      <protection hidden="1"/>
    </xf>
    <xf numFmtId="176" fontId="9" fillId="0" borderId="0" xfId="96" applyNumberFormat="1" applyProtection="1">
      <protection hidden="1"/>
    </xf>
    <xf numFmtId="3" fontId="9" fillId="0" borderId="7" xfId="96" applyNumberFormat="1" applyBorder="1" applyAlignment="1" applyProtection="1">
      <alignment horizontal="center" vertical="center"/>
      <protection hidden="1"/>
    </xf>
    <xf numFmtId="176" fontId="9" fillId="10" borderId="7" xfId="48" applyNumberFormat="1" applyFont="1" applyFill="1" applyBorder="1" applyAlignment="1" applyProtection="1">
      <alignment vertical="center"/>
      <protection hidden="1"/>
    </xf>
    <xf numFmtId="0" fontId="9" fillId="0" borderId="7" xfId="96" applyBorder="1" applyAlignment="1" applyProtection="1">
      <alignment vertical="center"/>
      <protection hidden="1"/>
    </xf>
    <xf numFmtId="0" fontId="9" fillId="0" borderId="7" xfId="96" applyBorder="1" applyAlignment="1" applyProtection="1">
      <alignment horizontal="center" vertical="center"/>
      <protection hidden="1"/>
    </xf>
    <xf numFmtId="176" fontId="9" fillId="0" borderId="7" xfId="96" applyNumberFormat="1" applyBorder="1" applyAlignment="1" applyProtection="1">
      <alignment vertical="center"/>
      <protection hidden="1"/>
    </xf>
    <xf numFmtId="176" fontId="9" fillId="0" borderId="7" xfId="48" applyNumberFormat="1" applyFont="1" applyFill="1" applyBorder="1" applyAlignment="1" applyProtection="1">
      <alignment vertical="center"/>
      <protection hidden="1"/>
    </xf>
    <xf numFmtId="3" fontId="9" fillId="0" borderId="7" xfId="76" applyNumberFormat="1" applyBorder="1" applyAlignment="1" applyProtection="1">
      <alignment horizontal="left" vertical="center"/>
      <protection hidden="1"/>
    </xf>
    <xf numFmtId="3" fontId="9" fillId="0" borderId="7" xfId="76" applyNumberFormat="1" applyBorder="1" applyAlignment="1" applyProtection="1">
      <alignment horizontal="center" vertical="center"/>
      <protection hidden="1"/>
    </xf>
    <xf numFmtId="0" fontId="9" fillId="0" borderId="7" xfId="96" applyBorder="1" applyAlignment="1" applyProtection="1">
      <alignment horizontal="justify" vertical="center"/>
      <protection hidden="1"/>
    </xf>
    <xf numFmtId="176" fontId="9" fillId="0" borderId="0" xfId="48" applyNumberFormat="1" applyFont="1" applyFill="1" applyAlignment="1" applyProtection="1">
      <alignment vertical="center"/>
      <protection hidden="1"/>
    </xf>
    <xf numFmtId="3" fontId="9" fillId="0" borderId="7" xfId="96" applyNumberFormat="1" applyBorder="1" applyAlignment="1" applyProtection="1">
      <alignment horizontal="left" vertical="center" wrapText="1"/>
      <protection hidden="1"/>
    </xf>
    <xf numFmtId="3" fontId="9" fillId="0" borderId="7" xfId="96" applyNumberFormat="1" applyBorder="1" applyAlignment="1" applyProtection="1">
      <alignment horizontal="center" vertical="center" wrapText="1"/>
      <protection hidden="1"/>
    </xf>
    <xf numFmtId="3" fontId="19" fillId="0" borderId="7" xfId="96" applyNumberFormat="1" applyFont="1" applyBorder="1" applyAlignment="1" applyProtection="1">
      <alignment horizontal="justify" vertical="center"/>
      <protection hidden="1"/>
    </xf>
    <xf numFmtId="0" fontId="75" fillId="0" borderId="7" xfId="126" applyBorder="1" applyAlignment="1" applyProtection="1">
      <alignment wrapText="1"/>
      <protection hidden="1"/>
    </xf>
    <xf numFmtId="0" fontId="9" fillId="0" borderId="7" xfId="96" applyBorder="1" applyAlignment="1" applyProtection="1">
      <alignment wrapText="1"/>
      <protection hidden="1"/>
    </xf>
    <xf numFmtId="176" fontId="10" fillId="0" borderId="62" xfId="48" applyNumberFormat="1" applyFont="1" applyFill="1" applyBorder="1" applyAlignment="1" applyProtection="1">
      <alignment horizontal="right" vertical="center"/>
      <protection hidden="1"/>
    </xf>
    <xf numFmtId="0" fontId="9" fillId="29" borderId="7" xfId="96" applyFill="1" applyBorder="1" applyProtection="1">
      <protection hidden="1"/>
    </xf>
    <xf numFmtId="176" fontId="9" fillId="0" borderId="7" xfId="96" applyNumberFormat="1" applyBorder="1" applyProtection="1">
      <protection hidden="1"/>
    </xf>
    <xf numFmtId="0" fontId="9" fillId="19" borderId="7" xfId="96" applyFill="1" applyBorder="1" applyProtection="1">
      <protection hidden="1"/>
    </xf>
    <xf numFmtId="3" fontId="9" fillId="0" borderId="0" xfId="96" applyNumberFormat="1" applyAlignment="1" applyProtection="1">
      <alignment horizontal="center" vertical="center" wrapText="1"/>
      <protection hidden="1"/>
    </xf>
    <xf numFmtId="3" fontId="9" fillId="0" borderId="0" xfId="96" applyNumberFormat="1" applyProtection="1">
      <protection hidden="1"/>
    </xf>
    <xf numFmtId="3" fontId="9" fillId="0" borderId="64" xfId="96" applyNumberFormat="1" applyBorder="1" applyAlignment="1" applyProtection="1">
      <alignment horizontal="left" vertical="center"/>
      <protection hidden="1"/>
    </xf>
    <xf numFmtId="3" fontId="9" fillId="0" borderId="0" xfId="96" applyNumberFormat="1" applyAlignment="1" applyProtection="1">
      <alignment horizontal="center" vertical="center"/>
      <protection hidden="1"/>
    </xf>
    <xf numFmtId="4" fontId="9" fillId="19" borderId="0" xfId="96" applyNumberFormat="1" applyFill="1" applyAlignment="1" applyProtection="1">
      <alignment vertical="center"/>
      <protection hidden="1"/>
    </xf>
    <xf numFmtId="176" fontId="9" fillId="19" borderId="0" xfId="48" applyNumberFormat="1" applyFont="1" applyFill="1" applyAlignment="1" applyProtection="1">
      <alignment vertical="center"/>
      <protection hidden="1"/>
    </xf>
    <xf numFmtId="176" fontId="9" fillId="19" borderId="0" xfId="48" applyNumberFormat="1" applyFont="1" applyFill="1" applyAlignment="1" applyProtection="1">
      <alignment horizontal="right" vertical="center" indent="1"/>
      <protection hidden="1"/>
    </xf>
    <xf numFmtId="176" fontId="9" fillId="19" borderId="65" xfId="48" applyNumberFormat="1" applyFont="1" applyFill="1" applyBorder="1" applyAlignment="1" applyProtection="1">
      <alignment horizontal="right" vertical="center"/>
      <protection hidden="1"/>
    </xf>
    <xf numFmtId="4" fontId="9" fillId="0" borderId="0" xfId="96" applyNumberFormat="1" applyAlignment="1" applyProtection="1">
      <alignment vertical="center"/>
      <protection hidden="1"/>
    </xf>
    <xf numFmtId="176" fontId="9" fillId="0" borderId="0" xfId="48" applyNumberFormat="1" applyFont="1" applyAlignment="1" applyProtection="1">
      <alignment vertical="center"/>
      <protection hidden="1"/>
    </xf>
    <xf numFmtId="176" fontId="9" fillId="0" borderId="0" xfId="48" applyNumberFormat="1" applyFont="1" applyAlignment="1" applyProtection="1">
      <alignment horizontal="right" vertical="center" indent="1"/>
      <protection hidden="1"/>
    </xf>
    <xf numFmtId="176" fontId="9" fillId="0" borderId="65" xfId="48" applyNumberFormat="1" applyFont="1" applyBorder="1" applyAlignment="1" applyProtection="1">
      <alignment horizontal="right" vertical="center"/>
      <protection hidden="1"/>
    </xf>
    <xf numFmtId="176" fontId="9" fillId="0" borderId="0" xfId="96" applyNumberFormat="1" applyAlignment="1" applyProtection="1">
      <alignment vertical="center"/>
      <protection hidden="1"/>
    </xf>
    <xf numFmtId="176" fontId="9" fillId="0" borderId="0" xfId="96" applyNumberFormat="1" applyAlignment="1" applyProtection="1">
      <alignment horizontal="right" vertical="center"/>
      <protection hidden="1"/>
    </xf>
    <xf numFmtId="3" fontId="9" fillId="0" borderId="67" xfId="96" applyNumberFormat="1" applyBorder="1" applyAlignment="1" applyProtection="1">
      <alignment horizontal="center" vertical="center"/>
      <protection hidden="1"/>
    </xf>
    <xf numFmtId="4" fontId="9" fillId="0" borderId="67" xfId="96" applyNumberFormat="1" applyBorder="1" applyAlignment="1" applyProtection="1">
      <alignment vertical="center"/>
      <protection hidden="1"/>
    </xf>
    <xf numFmtId="176" fontId="9" fillId="0" borderId="67" xfId="96" applyNumberFormat="1" applyBorder="1" applyAlignment="1" applyProtection="1">
      <alignment vertical="center"/>
      <protection hidden="1"/>
    </xf>
    <xf numFmtId="176" fontId="9" fillId="0" borderId="67" xfId="96" applyNumberFormat="1" applyBorder="1" applyAlignment="1" applyProtection="1">
      <alignment horizontal="right" vertical="center"/>
      <protection hidden="1"/>
    </xf>
    <xf numFmtId="169" fontId="9" fillId="0" borderId="0" xfId="96" applyNumberFormat="1" applyProtection="1">
      <protection hidden="1"/>
    </xf>
    <xf numFmtId="0" fontId="9" fillId="0" borderId="64" xfId="96" applyBorder="1" applyAlignment="1" applyProtection="1">
      <alignment vertical="center"/>
      <protection hidden="1"/>
    </xf>
    <xf numFmtId="2" fontId="9" fillId="0" borderId="0" xfId="96" applyNumberFormat="1" applyAlignment="1" applyProtection="1">
      <alignment vertical="center"/>
      <protection hidden="1"/>
    </xf>
    <xf numFmtId="176" fontId="9" fillId="0" borderId="65" xfId="96" applyNumberFormat="1" applyBorder="1" applyProtection="1">
      <protection hidden="1"/>
    </xf>
    <xf numFmtId="170" fontId="9" fillId="19" borderId="0" xfId="96" applyNumberFormat="1" applyFill="1" applyAlignment="1" applyProtection="1">
      <alignment vertical="center"/>
      <protection hidden="1"/>
    </xf>
    <xf numFmtId="176" fontId="9" fillId="19" borderId="65" xfId="96" applyNumberFormat="1" applyFill="1" applyBorder="1" applyProtection="1">
      <protection hidden="1"/>
    </xf>
    <xf numFmtId="9" fontId="9" fillId="0" borderId="0" xfId="106" applyFont="1" applyAlignment="1" applyProtection="1">
      <alignment horizontal="center" vertical="center"/>
      <protection hidden="1"/>
    </xf>
    <xf numFmtId="176" fontId="9" fillId="0" borderId="65" xfId="96" applyNumberFormat="1" applyBorder="1" applyAlignment="1" applyProtection="1">
      <alignment horizontal="right" vertical="center"/>
      <protection hidden="1"/>
    </xf>
    <xf numFmtId="1" fontId="9" fillId="0" borderId="0" xfId="96" applyNumberFormat="1" applyAlignment="1" applyProtection="1">
      <alignment horizontal="right" vertical="center"/>
      <protection hidden="1"/>
    </xf>
    <xf numFmtId="3" fontId="9" fillId="0" borderId="0" xfId="96" applyNumberFormat="1" applyAlignment="1" applyProtection="1">
      <alignment horizontal="left" vertical="center"/>
      <protection hidden="1"/>
    </xf>
    <xf numFmtId="2" fontId="9" fillId="19" borderId="0" xfId="96" applyNumberFormat="1" applyFill="1" applyAlignment="1" applyProtection="1">
      <alignment vertical="center"/>
      <protection hidden="1"/>
    </xf>
    <xf numFmtId="208" fontId="9" fillId="0" borderId="65" xfId="96" applyNumberFormat="1" applyBorder="1" applyProtection="1">
      <protection hidden="1"/>
    </xf>
    <xf numFmtId="208" fontId="9" fillId="0" borderId="0" xfId="96" applyNumberFormat="1" applyProtection="1">
      <protection hidden="1"/>
    </xf>
    <xf numFmtId="175" fontId="9" fillId="0" borderId="0" xfId="96" applyNumberFormat="1" applyAlignment="1" applyProtection="1">
      <alignment vertical="center"/>
      <protection hidden="1"/>
    </xf>
    <xf numFmtId="208" fontId="9" fillId="0" borderId="0" xfId="48" applyNumberFormat="1" applyFont="1" applyFill="1" applyAlignment="1" applyProtection="1">
      <alignment vertical="center"/>
      <protection hidden="1"/>
    </xf>
    <xf numFmtId="3" fontId="9" fillId="0" borderId="64" xfId="76" applyNumberFormat="1" applyBorder="1" applyAlignment="1" applyProtection="1">
      <alignment horizontal="left" vertical="center"/>
      <protection hidden="1"/>
    </xf>
    <xf numFmtId="3" fontId="9" fillId="0" borderId="0" xfId="76" applyNumberFormat="1" applyAlignment="1" applyProtection="1">
      <alignment horizontal="center" vertical="center"/>
      <protection hidden="1"/>
    </xf>
    <xf numFmtId="4" fontId="9" fillId="0" borderId="0" xfId="76" applyNumberFormat="1" applyAlignment="1" applyProtection="1">
      <alignment vertical="center"/>
      <protection hidden="1"/>
    </xf>
    <xf numFmtId="3" fontId="9" fillId="0" borderId="0" xfId="76" applyNumberFormat="1" applyProtection="1">
      <protection hidden="1"/>
    </xf>
    <xf numFmtId="3" fontId="9" fillId="19" borderId="0" xfId="96" applyNumberFormat="1" applyFill="1" applyAlignment="1" applyProtection="1">
      <alignment vertical="center"/>
      <protection hidden="1"/>
    </xf>
    <xf numFmtId="0" fontId="9" fillId="0" borderId="64" xfId="96" applyBorder="1" applyAlignment="1" applyProtection="1">
      <alignment vertical="center" wrapText="1"/>
      <protection hidden="1"/>
    </xf>
    <xf numFmtId="0" fontId="9" fillId="0" borderId="0" xfId="96" applyAlignment="1" applyProtection="1">
      <alignment horizontal="center"/>
      <protection hidden="1"/>
    </xf>
    <xf numFmtId="4" fontId="9" fillId="0" borderId="0" xfId="96" applyNumberFormat="1" applyProtection="1">
      <protection hidden="1"/>
    </xf>
    <xf numFmtId="176" fontId="9" fillId="0" borderId="0" xfId="48" applyNumberFormat="1" applyFont="1" applyFill="1" applyProtection="1">
      <protection hidden="1"/>
    </xf>
    <xf numFmtId="176" fontId="9" fillId="0" borderId="0" xfId="48" applyNumberFormat="1" applyFont="1" applyProtection="1">
      <protection hidden="1"/>
    </xf>
    <xf numFmtId="176" fontId="9" fillId="0" borderId="68" xfId="48" applyNumberFormat="1" applyFont="1" applyBorder="1" applyProtection="1">
      <protection hidden="1"/>
    </xf>
    <xf numFmtId="176" fontId="9" fillId="0" borderId="65" xfId="48" applyNumberFormat="1" applyFont="1" applyBorder="1" applyAlignment="1" applyProtection="1">
      <alignment vertical="center"/>
      <protection hidden="1"/>
    </xf>
    <xf numFmtId="2" fontId="9" fillId="0" borderId="0" xfId="96" applyNumberFormat="1" applyProtection="1">
      <protection hidden="1"/>
    </xf>
    <xf numFmtId="176" fontId="9" fillId="0" borderId="68" xfId="96" applyNumberFormat="1" applyBorder="1" applyProtection="1">
      <protection hidden="1"/>
    </xf>
    <xf numFmtId="4" fontId="9" fillId="0" borderId="0" xfId="96" applyNumberFormat="1" applyAlignment="1" applyProtection="1">
      <alignment horizontal="center"/>
      <protection hidden="1"/>
    </xf>
    <xf numFmtId="176" fontId="9" fillId="0" borderId="65" xfId="48" applyNumberFormat="1" applyFont="1" applyBorder="1" applyProtection="1">
      <protection hidden="1"/>
    </xf>
    <xf numFmtId="4" fontId="9" fillId="0" borderId="0" xfId="96" applyNumberFormat="1" applyAlignment="1" applyProtection="1">
      <alignment horizontal="right"/>
      <protection hidden="1"/>
    </xf>
    <xf numFmtId="208" fontId="9" fillId="0" borderId="0" xfId="48" applyNumberFormat="1" applyFont="1" applyProtection="1">
      <protection hidden="1"/>
    </xf>
    <xf numFmtId="208" fontId="9" fillId="0" borderId="65" xfId="48" applyNumberFormat="1" applyFont="1" applyBorder="1" applyAlignment="1" applyProtection="1">
      <alignment vertical="center"/>
      <protection hidden="1"/>
    </xf>
    <xf numFmtId="0" fontId="9" fillId="0" borderId="64" xfId="96" applyBorder="1" applyAlignment="1" applyProtection="1">
      <alignment horizontal="justify" vertical="center"/>
      <protection hidden="1"/>
    </xf>
    <xf numFmtId="176" fontId="9" fillId="0" borderId="68" xfId="48" applyNumberFormat="1" applyFont="1" applyBorder="1" applyAlignment="1" applyProtection="1">
      <alignment vertical="center"/>
      <protection hidden="1"/>
    </xf>
    <xf numFmtId="176" fontId="9" fillId="0" borderId="0" xfId="48" applyNumberFormat="1" applyFont="1" applyAlignment="1" applyProtection="1">
      <alignment horizontal="right" vertical="center"/>
      <protection hidden="1"/>
    </xf>
    <xf numFmtId="3" fontId="9" fillId="0" borderId="64" xfId="96" applyNumberFormat="1" applyBorder="1" applyAlignment="1" applyProtection="1">
      <alignment horizontal="left" vertical="center" wrapText="1"/>
      <protection hidden="1"/>
    </xf>
    <xf numFmtId="2" fontId="9" fillId="0" borderId="0" xfId="96" applyNumberFormat="1" applyAlignment="1" applyProtection="1">
      <alignment vertical="center" wrapText="1"/>
      <protection hidden="1"/>
    </xf>
    <xf numFmtId="0" fontId="9" fillId="0" borderId="0" xfId="96" applyAlignment="1" applyProtection="1">
      <alignment wrapText="1"/>
      <protection hidden="1"/>
    </xf>
    <xf numFmtId="2" fontId="9" fillId="29" borderId="0" xfId="96" applyNumberFormat="1" applyFill="1" applyAlignment="1" applyProtection="1">
      <alignment vertical="center"/>
      <protection hidden="1"/>
    </xf>
    <xf numFmtId="176" fontId="9" fillId="29" borderId="0" xfId="96" applyNumberFormat="1" applyFill="1" applyAlignment="1" applyProtection="1">
      <alignment vertical="center"/>
      <protection hidden="1"/>
    </xf>
    <xf numFmtId="176" fontId="9" fillId="29" borderId="0" xfId="96" applyNumberFormat="1" applyFill="1" applyAlignment="1" applyProtection="1">
      <alignment horizontal="right" vertical="center"/>
      <protection hidden="1"/>
    </xf>
    <xf numFmtId="176" fontId="9" fillId="29" borderId="65" xfId="96" applyNumberFormat="1" applyFill="1" applyBorder="1" applyAlignment="1" applyProtection="1">
      <alignment horizontal="right" vertical="center"/>
      <protection hidden="1"/>
    </xf>
    <xf numFmtId="4" fontId="9" fillId="29" borderId="0" xfId="96" applyNumberFormat="1" applyFill="1" applyAlignment="1" applyProtection="1">
      <alignment vertical="center"/>
      <protection hidden="1"/>
    </xf>
    <xf numFmtId="208" fontId="9" fillId="0" borderId="65" xfId="96" applyNumberFormat="1" applyBorder="1" applyAlignment="1" applyProtection="1">
      <alignment horizontal="right" vertical="center"/>
      <protection hidden="1"/>
    </xf>
    <xf numFmtId="169" fontId="9" fillId="0" borderId="0" xfId="96" applyNumberFormat="1" applyAlignment="1" applyProtection="1">
      <alignment vertical="center"/>
      <protection hidden="1"/>
    </xf>
    <xf numFmtId="176" fontId="9" fillId="29" borderId="65" xfId="96" applyNumberFormat="1" applyFill="1" applyBorder="1" applyProtection="1">
      <protection hidden="1"/>
    </xf>
    <xf numFmtId="176" fontId="9" fillId="0" borderId="65" xfId="48" applyNumberFormat="1" applyFont="1" applyFill="1" applyBorder="1" applyAlignment="1" applyProtection="1">
      <alignment vertical="center"/>
      <protection hidden="1"/>
    </xf>
    <xf numFmtId="176" fontId="59" fillId="0" borderId="0" xfId="48" applyNumberFormat="1" applyFont="1" applyFill="1" applyAlignment="1" applyProtection="1">
      <alignment vertical="center"/>
      <protection hidden="1"/>
    </xf>
    <xf numFmtId="208" fontId="9" fillId="0" borderId="68" xfId="48" applyNumberFormat="1" applyFont="1" applyFill="1" applyBorder="1" applyAlignment="1" applyProtection="1">
      <alignment vertical="center"/>
      <protection hidden="1"/>
    </xf>
    <xf numFmtId="208" fontId="9" fillId="0" borderId="65" xfId="48" applyNumberFormat="1" applyFont="1" applyFill="1" applyBorder="1" applyAlignment="1" applyProtection="1">
      <alignment vertical="center"/>
      <protection hidden="1"/>
    </xf>
    <xf numFmtId="176" fontId="9" fillId="0" borderId="65" xfId="48" applyNumberFormat="1" applyFont="1" applyFill="1" applyBorder="1" applyAlignment="1" applyProtection="1">
      <alignment horizontal="right" vertical="center"/>
      <protection hidden="1"/>
    </xf>
    <xf numFmtId="176" fontId="9" fillId="0" borderId="0" xfId="48" applyNumberFormat="1" applyFont="1" applyFill="1" applyAlignment="1" applyProtection="1">
      <alignment horizontal="right" vertical="center" indent="1"/>
      <protection hidden="1"/>
    </xf>
    <xf numFmtId="9" fontId="9" fillId="0" borderId="0" xfId="96" applyNumberFormat="1" applyAlignment="1" applyProtection="1">
      <alignment horizontal="center" vertical="center"/>
      <protection hidden="1"/>
    </xf>
    <xf numFmtId="176" fontId="9" fillId="0" borderId="70" xfId="96" applyNumberFormat="1" applyBorder="1" applyProtection="1">
      <protection hidden="1"/>
    </xf>
    <xf numFmtId="176" fontId="59" fillId="0" borderId="0" xfId="96" applyNumberFormat="1" applyFont="1" applyAlignment="1" applyProtection="1">
      <alignment vertical="center"/>
      <protection hidden="1"/>
    </xf>
    <xf numFmtId="174" fontId="35" fillId="28" borderId="7" xfId="0" applyNumberFormat="1" applyFont="1" applyFill="1" applyBorder="1" applyProtection="1">
      <protection hidden="1"/>
    </xf>
    <xf numFmtId="176" fontId="9" fillId="26" borderId="7" xfId="0" applyNumberFormat="1" applyFont="1" applyFill="1" applyBorder="1" applyAlignment="1" applyProtection="1">
      <alignment vertical="center"/>
      <protection hidden="1"/>
    </xf>
    <xf numFmtId="176" fontId="9" fillId="28" borderId="0" xfId="48" applyNumberFormat="1" applyFont="1" applyFill="1" applyAlignment="1" applyProtection="1">
      <alignment vertical="center"/>
      <protection hidden="1"/>
    </xf>
    <xf numFmtId="176" fontId="9" fillId="28" borderId="0" xfId="48" applyNumberFormat="1" applyFont="1" applyFill="1" applyProtection="1">
      <protection hidden="1"/>
    </xf>
    <xf numFmtId="0" fontId="61" fillId="0" borderId="0" xfId="96" applyFont="1" applyAlignment="1" applyProtection="1">
      <alignment wrapText="1"/>
      <protection hidden="1"/>
    </xf>
    <xf numFmtId="0" fontId="75" fillId="0" borderId="7" xfId="126" applyFill="1" applyBorder="1" applyAlignment="1" applyProtection="1">
      <alignment wrapText="1"/>
      <protection hidden="1"/>
    </xf>
    <xf numFmtId="0" fontId="59" fillId="0" borderId="7" xfId="96" applyFont="1" applyBorder="1" applyAlignment="1" applyProtection="1">
      <alignment wrapText="1"/>
      <protection hidden="1"/>
    </xf>
    <xf numFmtId="176" fontId="9" fillId="0" borderId="0" xfId="48" applyNumberFormat="1" applyFont="1" applyFill="1" applyBorder="1" applyAlignment="1" applyProtection="1">
      <alignment vertical="center"/>
      <protection hidden="1"/>
    </xf>
    <xf numFmtId="0" fontId="75" fillId="0" borderId="0" xfId="126" applyBorder="1" applyAlignment="1" applyProtection="1">
      <alignment wrapText="1"/>
      <protection hidden="1"/>
    </xf>
    <xf numFmtId="9" fontId="9" fillId="0" borderId="0" xfId="104" applyFont="1" applyFill="1" applyProtection="1">
      <protection hidden="1"/>
    </xf>
    <xf numFmtId="211" fontId="9" fillId="0" borderId="7" xfId="54" applyNumberFormat="1" applyFont="1" applyBorder="1" applyProtection="1">
      <protection hidden="1"/>
    </xf>
    <xf numFmtId="211" fontId="9" fillId="0" borderId="7" xfId="54" applyNumberFormat="1" applyFont="1" applyBorder="1" applyAlignment="1" applyProtection="1">
      <alignment horizontal="right" vertical="center"/>
      <protection hidden="1"/>
    </xf>
    <xf numFmtId="176" fontId="9" fillId="32" borderId="0" xfId="48" applyNumberFormat="1" applyFont="1" applyFill="1" applyAlignment="1" applyProtection="1">
      <alignment vertical="center"/>
      <protection hidden="1"/>
    </xf>
    <xf numFmtId="176" fontId="9" fillId="32" borderId="0" xfId="96" applyNumberFormat="1" applyFill="1" applyAlignment="1" applyProtection="1">
      <alignment vertical="center"/>
      <protection hidden="1"/>
    </xf>
    <xf numFmtId="0" fontId="57" fillId="33" borderId="7" xfId="124" applyFont="1" applyFill="1" applyBorder="1" applyAlignment="1">
      <alignment horizontal="center" vertical="center" wrapText="1"/>
    </xf>
    <xf numFmtId="0" fontId="9" fillId="26" borderId="7" xfId="0" applyFont="1" applyFill="1" applyBorder="1" applyAlignment="1" applyProtection="1">
      <alignment vertical="center"/>
      <protection hidden="1"/>
    </xf>
    <xf numFmtId="4" fontId="63" fillId="0" borderId="7" xfId="102" applyNumberFormat="1" applyFont="1" applyBorder="1" applyAlignment="1" applyProtection="1">
      <alignment horizontal="center" vertical="center"/>
      <protection hidden="1"/>
    </xf>
    <xf numFmtId="4" fontId="63" fillId="0" borderId="7" xfId="76" applyNumberFormat="1" applyFont="1" applyBorder="1" applyAlignment="1" applyProtection="1">
      <alignment horizontal="center" vertical="center"/>
      <protection hidden="1"/>
    </xf>
    <xf numFmtId="176" fontId="10" fillId="0" borderId="0" xfId="48" applyNumberFormat="1" applyFont="1" applyBorder="1" applyAlignment="1" applyProtection="1">
      <alignment horizontal="right" vertical="center"/>
      <protection hidden="1"/>
    </xf>
    <xf numFmtId="178" fontId="26" fillId="0" borderId="0" xfId="101" applyNumberFormat="1" applyFont="1" applyAlignment="1" applyProtection="1">
      <alignment vertical="center"/>
      <protection hidden="1"/>
    </xf>
    <xf numFmtId="0" fontId="26" fillId="0" borderId="0" xfId="101" applyFont="1" applyAlignment="1" applyProtection="1">
      <alignment vertical="center"/>
      <protection hidden="1"/>
    </xf>
    <xf numFmtId="0" fontId="9" fillId="0" borderId="0" xfId="96" applyAlignment="1" applyProtection="1">
      <alignment vertical="center" wrapText="1"/>
      <protection hidden="1"/>
    </xf>
    <xf numFmtId="0" fontId="57" fillId="0" borderId="0" xfId="124" applyFont="1" applyAlignment="1">
      <alignment horizontal="left" vertical="center" wrapText="1"/>
    </xf>
    <xf numFmtId="0" fontId="59" fillId="0" borderId="7" xfId="0" applyFont="1" applyBorder="1" applyAlignment="1">
      <alignment horizontal="justify" vertical="center" wrapText="1"/>
    </xf>
    <xf numFmtId="178" fontId="0" fillId="0" borderId="7" xfId="0" applyNumberFormat="1" applyBorder="1" applyAlignment="1">
      <alignment horizontal="center" vertical="center"/>
    </xf>
    <xf numFmtId="0" fontId="78" fillId="26" borderId="7" xfId="0" applyFont="1" applyFill="1" applyBorder="1" applyAlignment="1">
      <alignment horizontal="center" vertical="center" wrapText="1"/>
    </xf>
    <xf numFmtId="211" fontId="9" fillId="0" borderId="0" xfId="54" applyNumberFormat="1" applyFont="1" applyFill="1" applyBorder="1" applyProtection="1">
      <protection hidden="1"/>
    </xf>
    <xf numFmtId="9" fontId="9" fillId="0" borderId="0" xfId="104" applyFont="1" applyFill="1" applyBorder="1" applyProtection="1">
      <protection hidden="1"/>
    </xf>
    <xf numFmtId="211" fontId="9" fillId="10" borderId="7" xfId="96" applyNumberFormat="1" applyFill="1" applyBorder="1" applyProtection="1">
      <protection hidden="1"/>
    </xf>
    <xf numFmtId="0" fontId="9" fillId="0" borderId="90" xfId="0" applyFont="1" applyBorder="1" applyAlignment="1">
      <alignment wrapText="1"/>
    </xf>
    <xf numFmtId="0" fontId="80" fillId="0" borderId="89" xfId="0" applyFont="1" applyBorder="1" applyAlignment="1">
      <alignment wrapText="1"/>
    </xf>
    <xf numFmtId="0" fontId="9" fillId="35" borderId="90" xfId="0" applyFont="1" applyFill="1" applyBorder="1" applyAlignment="1">
      <alignment wrapText="1"/>
    </xf>
    <xf numFmtId="0" fontId="80" fillId="35" borderId="89" xfId="0" applyFont="1" applyFill="1" applyBorder="1" applyAlignment="1">
      <alignment horizontal="right" wrapText="1"/>
    </xf>
    <xf numFmtId="0" fontId="9" fillId="24" borderId="90" xfId="0" applyFont="1" applyFill="1" applyBorder="1" applyAlignment="1">
      <alignment wrapText="1"/>
    </xf>
    <xf numFmtId="0" fontId="80" fillId="24" borderId="89" xfId="0" applyFont="1" applyFill="1" applyBorder="1" applyAlignment="1">
      <alignment horizontal="right" wrapText="1"/>
    </xf>
    <xf numFmtId="0" fontId="9" fillId="36" borderId="90" xfId="0" applyFont="1" applyFill="1" applyBorder="1" applyAlignment="1">
      <alignment wrapText="1"/>
    </xf>
    <xf numFmtId="0" fontId="80" fillId="36" borderId="89" xfId="0" applyFont="1" applyFill="1" applyBorder="1" applyAlignment="1">
      <alignment horizontal="right" wrapText="1"/>
    </xf>
    <xf numFmtId="0" fontId="9" fillId="30" borderId="90" xfId="0" applyFont="1" applyFill="1" applyBorder="1" applyAlignment="1">
      <alignment wrapText="1"/>
    </xf>
    <xf numFmtId="0" fontId="80" fillId="30" borderId="89" xfId="0" applyFont="1" applyFill="1" applyBorder="1" applyAlignment="1">
      <alignment horizontal="right" wrapText="1"/>
    </xf>
    <xf numFmtId="2" fontId="9" fillId="0" borderId="0" xfId="0" applyNumberFormat="1" applyFont="1" applyAlignment="1" applyProtection="1">
      <alignment vertical="center"/>
      <protection hidden="1"/>
    </xf>
    <xf numFmtId="174" fontId="9" fillId="0" borderId="0" xfId="0" applyNumberFormat="1" applyFont="1" applyAlignment="1" applyProtection="1">
      <alignment vertical="center"/>
      <protection hidden="1"/>
    </xf>
    <xf numFmtId="211" fontId="9" fillId="0" borderId="7" xfId="96" applyNumberFormat="1" applyBorder="1" applyProtection="1">
      <protection hidden="1"/>
    </xf>
    <xf numFmtId="3" fontId="59" fillId="0" borderId="7" xfId="124" applyNumberFormat="1" applyFont="1" applyBorder="1" applyAlignment="1">
      <alignment horizontal="center" vertical="center"/>
    </xf>
    <xf numFmtId="4" fontId="9" fillId="0" borderId="7" xfId="96" applyNumberFormat="1" applyBorder="1" applyAlignment="1" applyProtection="1">
      <alignment horizontal="center" vertical="center"/>
      <protection hidden="1"/>
    </xf>
    <xf numFmtId="0" fontId="57" fillId="0" borderId="0" xfId="124" applyFont="1" applyAlignment="1">
      <alignment horizontal="center" vertical="center" wrapText="1"/>
    </xf>
    <xf numFmtId="0" fontId="26" fillId="19" borderId="7" xfId="95" applyFont="1" applyFill="1" applyBorder="1" applyAlignment="1" applyProtection="1">
      <alignment horizontal="center" vertical="center"/>
      <protection hidden="1"/>
    </xf>
    <xf numFmtId="170" fontId="80" fillId="24" borderId="89" xfId="0" applyNumberFormat="1" applyFont="1" applyFill="1" applyBorder="1" applyAlignment="1">
      <alignment horizontal="right" wrapText="1"/>
    </xf>
    <xf numFmtId="170" fontId="80" fillId="36" borderId="89" xfId="0" applyNumberFormat="1" applyFont="1" applyFill="1" applyBorder="1" applyAlignment="1">
      <alignment horizontal="right" wrapText="1"/>
    </xf>
    <xf numFmtId="170" fontId="80" fillId="30" borderId="89" xfId="0" applyNumberFormat="1" applyFont="1" applyFill="1" applyBorder="1" applyAlignment="1">
      <alignment horizontal="right" wrapText="1"/>
    </xf>
    <xf numFmtId="0" fontId="57" fillId="34" borderId="92" xfId="0" applyFont="1" applyFill="1" applyBorder="1" applyAlignment="1">
      <alignment horizontal="center" vertical="center" wrapText="1"/>
    </xf>
    <xf numFmtId="0" fontId="57" fillId="34" borderId="93" xfId="0" applyFont="1" applyFill="1" applyBorder="1" applyAlignment="1">
      <alignment horizontal="center" vertical="center" wrapText="1"/>
    </xf>
    <xf numFmtId="0" fontId="57" fillId="25" borderId="19" xfId="0" applyFont="1" applyFill="1" applyBorder="1" applyAlignment="1">
      <alignment horizontal="center" vertical="center" wrapText="1"/>
    </xf>
    <xf numFmtId="0" fontId="9" fillId="0" borderId="26" xfId="96" applyBorder="1" applyAlignment="1" applyProtection="1">
      <alignment horizontal="center" vertical="center" wrapText="1"/>
      <protection hidden="1"/>
    </xf>
    <xf numFmtId="0" fontId="10" fillId="38" borderId="7" xfId="96" applyFont="1" applyFill="1" applyBorder="1" applyAlignment="1" applyProtection="1">
      <alignment vertical="center" wrapText="1"/>
      <protection hidden="1"/>
    </xf>
    <xf numFmtId="3" fontId="10" fillId="38" borderId="7" xfId="96" applyNumberFormat="1" applyFont="1" applyFill="1" applyBorder="1" applyAlignment="1" applyProtection="1">
      <alignment horizontal="left" vertical="center"/>
      <protection hidden="1"/>
    </xf>
    <xf numFmtId="211" fontId="10" fillId="10" borderId="7" xfId="96" applyNumberFormat="1" applyFont="1" applyFill="1" applyBorder="1" applyProtection="1">
      <protection hidden="1"/>
    </xf>
    <xf numFmtId="211" fontId="10" fillId="38" borderId="7" xfId="96" applyNumberFormat="1" applyFont="1" applyFill="1" applyBorder="1" applyProtection="1">
      <protection hidden="1"/>
    </xf>
    <xf numFmtId="211" fontId="25" fillId="38" borderId="7" xfId="96" applyNumberFormat="1" applyFont="1" applyFill="1" applyBorder="1" applyProtection="1">
      <protection hidden="1"/>
    </xf>
    <xf numFmtId="178" fontId="63" fillId="12" borderId="7" xfId="101" applyNumberFormat="1" applyFont="1" applyFill="1" applyBorder="1" applyAlignment="1" applyProtection="1">
      <alignment horizontal="center" vertical="center"/>
      <protection hidden="1"/>
    </xf>
    <xf numFmtId="178" fontId="63" fillId="14" borderId="7" xfId="101" applyNumberFormat="1" applyFont="1" applyFill="1" applyBorder="1" applyAlignment="1" applyProtection="1">
      <alignment horizontal="center" vertical="center"/>
      <protection hidden="1"/>
    </xf>
    <xf numFmtId="178" fontId="9" fillId="0" borderId="0" xfId="0" applyNumberFormat="1" applyFont="1" applyProtection="1">
      <protection hidden="1"/>
    </xf>
    <xf numFmtId="0" fontId="63" fillId="21" borderId="7" xfId="101" applyFont="1" applyFill="1" applyBorder="1" applyAlignment="1" applyProtection="1">
      <alignment vertical="center"/>
      <protection hidden="1"/>
    </xf>
    <xf numFmtId="178" fontId="26" fillId="0" borderId="51" xfId="101" applyNumberFormat="1" applyFont="1" applyBorder="1" applyAlignment="1" applyProtection="1">
      <alignment vertical="center"/>
      <protection hidden="1"/>
    </xf>
    <xf numFmtId="0" fontId="64" fillId="23" borderId="21" xfId="101" applyFont="1" applyFill="1" applyBorder="1" applyAlignment="1" applyProtection="1">
      <alignment horizontal="center" vertical="center"/>
      <protection hidden="1"/>
    </xf>
    <xf numFmtId="178" fontId="63" fillId="12" borderId="7" xfId="101" applyNumberFormat="1" applyFont="1" applyFill="1" applyBorder="1" applyAlignment="1" applyProtection="1">
      <alignment vertical="center"/>
      <protection hidden="1"/>
    </xf>
    <xf numFmtId="211" fontId="63" fillId="10" borderId="0" xfId="54" applyNumberFormat="1" applyFont="1" applyFill="1" applyAlignment="1" applyProtection="1">
      <alignment vertical="center"/>
      <protection hidden="1"/>
    </xf>
    <xf numFmtId="214" fontId="63" fillId="10" borderId="0" xfId="101" applyNumberFormat="1" applyFont="1" applyFill="1" applyAlignment="1" applyProtection="1">
      <alignment vertical="center"/>
      <protection hidden="1"/>
    </xf>
    <xf numFmtId="178" fontId="63" fillId="14" borderId="7" xfId="101" applyNumberFormat="1" applyFont="1" applyFill="1" applyBorder="1" applyAlignment="1" applyProtection="1">
      <alignment vertical="center" wrapText="1"/>
      <protection hidden="1"/>
    </xf>
    <xf numFmtId="171" fontId="64" fillId="12" borderId="30" xfId="99" applyNumberFormat="1" applyFont="1" applyFill="1" applyBorder="1" applyAlignment="1" applyProtection="1">
      <alignment horizontal="center" vertical="center" wrapText="1"/>
      <protection hidden="1"/>
    </xf>
    <xf numFmtId="3" fontId="64" fillId="12" borderId="21" xfId="101" applyNumberFormat="1" applyFont="1" applyFill="1" applyBorder="1" applyAlignment="1" applyProtection="1">
      <alignment horizontal="center" vertical="center" wrapText="1"/>
      <protection hidden="1"/>
    </xf>
    <xf numFmtId="171" fontId="64" fillId="13" borderId="21" xfId="99" applyNumberFormat="1" applyFont="1" applyFill="1" applyBorder="1" applyAlignment="1" applyProtection="1">
      <alignment horizontal="center" vertical="center" wrapText="1"/>
      <protection hidden="1"/>
    </xf>
    <xf numFmtId="3" fontId="64" fillId="13" borderId="5" xfId="101" applyNumberFormat="1" applyFont="1" applyFill="1" applyBorder="1" applyAlignment="1" applyProtection="1">
      <alignment horizontal="center" vertical="center" wrapText="1"/>
      <protection hidden="1"/>
    </xf>
    <xf numFmtId="171" fontId="64" fillId="14" borderId="21" xfId="99" applyNumberFormat="1" applyFont="1" applyFill="1" applyBorder="1" applyAlignment="1" applyProtection="1">
      <alignment horizontal="center" vertical="center" wrapText="1"/>
      <protection hidden="1"/>
    </xf>
    <xf numFmtId="3" fontId="64" fillId="14" borderId="3" xfId="101" applyNumberFormat="1" applyFont="1" applyFill="1" applyBorder="1" applyAlignment="1" applyProtection="1">
      <alignment horizontal="center" vertical="center" wrapText="1"/>
      <protection hidden="1"/>
    </xf>
    <xf numFmtId="171" fontId="64" fillId="11" borderId="21" xfId="99" applyNumberFormat="1" applyFont="1" applyFill="1" applyBorder="1" applyAlignment="1" applyProtection="1">
      <alignment horizontal="center" vertical="center" wrapText="1"/>
      <protection hidden="1"/>
    </xf>
    <xf numFmtId="3" fontId="64" fillId="11" borderId="5" xfId="101" applyNumberFormat="1" applyFont="1" applyFill="1" applyBorder="1" applyAlignment="1" applyProtection="1">
      <alignment horizontal="center" vertical="center" wrapText="1"/>
      <protection hidden="1"/>
    </xf>
    <xf numFmtId="0" fontId="57" fillId="0" borderId="7" xfId="101" applyFont="1" applyBorder="1" applyAlignment="1" applyProtection="1">
      <alignment horizontal="center" vertical="center" wrapText="1"/>
      <protection hidden="1"/>
    </xf>
    <xf numFmtId="171" fontId="64" fillId="12" borderId="21" xfId="99" applyNumberFormat="1" applyFont="1" applyFill="1" applyBorder="1" applyAlignment="1" applyProtection="1">
      <alignment horizontal="center" vertical="center" wrapText="1"/>
      <protection hidden="1"/>
    </xf>
    <xf numFmtId="3" fontId="64" fillId="13" borderId="21" xfId="101" applyNumberFormat="1" applyFont="1" applyFill="1" applyBorder="1" applyAlignment="1" applyProtection="1">
      <alignment horizontal="center" vertical="center" wrapText="1"/>
      <protection hidden="1"/>
    </xf>
    <xf numFmtId="3" fontId="64" fillId="14" borderId="21" xfId="101" applyNumberFormat="1" applyFont="1" applyFill="1" applyBorder="1" applyAlignment="1" applyProtection="1">
      <alignment horizontal="center" vertical="center" wrapText="1"/>
      <protection hidden="1"/>
    </xf>
    <xf numFmtId="3" fontId="64" fillId="11" borderId="21" xfId="101" applyNumberFormat="1" applyFont="1" applyFill="1" applyBorder="1" applyAlignment="1" applyProtection="1">
      <alignment horizontal="center" vertical="center" wrapText="1"/>
      <protection hidden="1"/>
    </xf>
    <xf numFmtId="0" fontId="57" fillId="16" borderId="21" xfId="101" applyFont="1" applyFill="1" applyBorder="1" applyAlignment="1" applyProtection="1">
      <alignment horizontal="center" vertical="center" wrapText="1"/>
      <protection hidden="1"/>
    </xf>
    <xf numFmtId="205" fontId="57" fillId="11" borderId="2" xfId="99" applyNumberFormat="1" applyFont="1" applyFill="1" applyBorder="1" applyAlignment="1" applyProtection="1">
      <alignment horizontal="center" vertical="center" wrapText="1"/>
      <protection hidden="1"/>
    </xf>
    <xf numFmtId="4" fontId="64" fillId="0" borderId="7" xfId="98" applyNumberFormat="1" applyFont="1" applyBorder="1" applyAlignment="1" applyProtection="1">
      <alignment horizontal="center" vertical="center" wrapText="1"/>
      <protection hidden="1"/>
    </xf>
    <xf numFmtId="171" fontId="64" fillId="0" borderId="7" xfId="99" applyNumberFormat="1" applyFont="1" applyBorder="1" applyAlignment="1" applyProtection="1">
      <alignment horizontal="center" vertical="center" wrapText="1"/>
      <protection hidden="1"/>
    </xf>
    <xf numFmtId="3" fontId="64" fillId="0" borderId="7" xfId="101" applyNumberFormat="1" applyFont="1" applyBorder="1" applyAlignment="1" applyProtection="1">
      <alignment horizontal="center" vertical="center" wrapText="1"/>
      <protection hidden="1"/>
    </xf>
    <xf numFmtId="171" fontId="64" fillId="0" borderId="7" xfId="101" applyNumberFormat="1" applyFont="1" applyBorder="1" applyAlignment="1" applyProtection="1">
      <alignment horizontal="center" vertical="center" wrapText="1"/>
      <protection hidden="1"/>
    </xf>
    <xf numFmtId="0" fontId="64" fillId="0" borderId="7" xfId="99" applyFont="1" applyBorder="1" applyAlignment="1" applyProtection="1">
      <alignment horizontal="center" vertical="center" wrapText="1"/>
      <protection hidden="1"/>
    </xf>
    <xf numFmtId="178" fontId="57" fillId="0" borderId="7" xfId="99" applyNumberFormat="1" applyFont="1" applyBorder="1" applyAlignment="1" applyProtection="1">
      <alignment horizontal="center" vertical="center" wrapText="1"/>
      <protection hidden="1"/>
    </xf>
    <xf numFmtId="205" fontId="57" fillId="0" borderId="7" xfId="99" applyNumberFormat="1" applyFont="1" applyBorder="1" applyAlignment="1" applyProtection="1">
      <alignment horizontal="center" vertical="center" wrapText="1"/>
      <protection hidden="1"/>
    </xf>
    <xf numFmtId="0" fontId="64" fillId="0" borderId="7" xfId="101" applyFont="1" applyBorder="1" applyAlignment="1" applyProtection="1">
      <alignment horizontal="center" vertical="center" wrapText="1"/>
      <protection hidden="1"/>
    </xf>
    <xf numFmtId="178" fontId="9" fillId="0" borderId="0" xfId="0" applyNumberFormat="1" applyFont="1" applyAlignment="1" applyProtection="1">
      <alignment vertical="center"/>
      <protection hidden="1"/>
    </xf>
    <xf numFmtId="0" fontId="10" fillId="31" borderId="21" xfId="96" applyFont="1" applyFill="1" applyBorder="1" applyAlignment="1" applyProtection="1">
      <alignment horizontal="center" vertical="center" wrapText="1"/>
      <protection hidden="1"/>
    </xf>
    <xf numFmtId="0" fontId="76" fillId="30" borderId="21" xfId="96" applyFont="1" applyFill="1" applyBorder="1" applyAlignment="1" applyProtection="1">
      <alignment vertical="center" wrapText="1"/>
      <protection hidden="1"/>
    </xf>
    <xf numFmtId="213" fontId="9" fillId="0" borderId="7" xfId="96" applyNumberFormat="1" applyBorder="1" applyProtection="1">
      <protection hidden="1"/>
    </xf>
    <xf numFmtId="0" fontId="80" fillId="0" borderId="7" xfId="0" applyFont="1" applyBorder="1" applyAlignment="1">
      <alignment horizontal="right" wrapText="1"/>
    </xf>
    <xf numFmtId="0" fontId="9" fillId="39" borderId="7" xfId="96" applyFill="1" applyBorder="1" applyAlignment="1" applyProtection="1">
      <alignment vertical="center" wrapText="1"/>
      <protection hidden="1"/>
    </xf>
    <xf numFmtId="0" fontId="9" fillId="39" borderId="7" xfId="96" applyFill="1" applyBorder="1" applyProtection="1">
      <protection hidden="1"/>
    </xf>
    <xf numFmtId="213" fontId="9" fillId="39" borderId="7" xfId="96" applyNumberFormat="1" applyFill="1" applyBorder="1" applyAlignment="1" applyProtection="1">
      <alignment vertical="center"/>
      <protection hidden="1"/>
    </xf>
    <xf numFmtId="0" fontId="9" fillId="0" borderId="0" xfId="96" applyAlignment="1" applyProtection="1">
      <alignment horizontal="left" wrapText="1"/>
      <protection hidden="1"/>
    </xf>
    <xf numFmtId="0" fontId="10" fillId="0" borderId="0" xfId="96" applyFont="1" applyAlignment="1" applyProtection="1">
      <alignment horizontal="center" vertical="center" wrapText="1"/>
      <protection hidden="1"/>
    </xf>
    <xf numFmtId="211" fontId="9" fillId="0" borderId="0" xfId="54" applyNumberFormat="1" applyFont="1" applyBorder="1" applyProtection="1">
      <protection hidden="1"/>
    </xf>
    <xf numFmtId="0" fontId="9" fillId="35" borderId="0" xfId="96" applyFill="1" applyProtection="1">
      <protection hidden="1"/>
    </xf>
    <xf numFmtId="0" fontId="10" fillId="35" borderId="0" xfId="96" applyFont="1" applyFill="1" applyProtection="1">
      <protection hidden="1"/>
    </xf>
    <xf numFmtId="0" fontId="9" fillId="33" borderId="0" xfId="96" applyFill="1" applyProtection="1">
      <protection hidden="1"/>
    </xf>
    <xf numFmtId="0" fontId="9" fillId="17" borderId="0" xfId="96" applyFill="1" applyProtection="1">
      <protection hidden="1"/>
    </xf>
    <xf numFmtId="0" fontId="10" fillId="32" borderId="0" xfId="96" applyFont="1" applyFill="1" applyProtection="1">
      <protection hidden="1"/>
    </xf>
    <xf numFmtId="0" fontId="9" fillId="32" borderId="26" xfId="96" applyFill="1" applyBorder="1" applyAlignment="1" applyProtection="1">
      <alignment horizontal="center" vertical="center" wrapText="1"/>
      <protection hidden="1"/>
    </xf>
    <xf numFmtId="0" fontId="9" fillId="32" borderId="0" xfId="96" applyFill="1" applyProtection="1">
      <protection hidden="1"/>
    </xf>
    <xf numFmtId="0" fontId="9" fillId="0" borderId="0" xfId="96" applyAlignment="1" applyProtection="1">
      <alignment horizontal="right" wrapText="1"/>
      <protection hidden="1"/>
    </xf>
    <xf numFmtId="0" fontId="4" fillId="0" borderId="0" xfId="127" applyAlignment="1">
      <alignment vertical="center"/>
    </xf>
    <xf numFmtId="0" fontId="83" fillId="0" borderId="0" xfId="127" applyFont="1" applyAlignment="1">
      <alignment horizontal="center" vertical="center"/>
    </xf>
    <xf numFmtId="0" fontId="4" fillId="0" borderId="0" xfId="127"/>
    <xf numFmtId="213" fontId="0" fillId="0" borderId="0" xfId="128" applyNumberFormat="1" applyFont="1" applyBorder="1" applyAlignment="1">
      <alignment vertical="center"/>
    </xf>
    <xf numFmtId="213" fontId="9" fillId="12" borderId="7" xfId="62" applyNumberFormat="1" applyFont="1" applyFill="1" applyBorder="1" applyAlignment="1" applyProtection="1">
      <alignment horizontal="center" vertical="center"/>
    </xf>
    <xf numFmtId="213" fontId="9" fillId="0" borderId="0" xfId="62" applyNumberFormat="1" applyFont="1" applyFill="1" applyBorder="1" applyAlignment="1" applyProtection="1">
      <alignment horizontal="center" vertical="center"/>
    </xf>
    <xf numFmtId="213" fontId="9" fillId="14" borderId="7" xfId="62" applyNumberFormat="1" applyFont="1" applyFill="1" applyBorder="1" applyAlignment="1" applyProtection="1">
      <alignment horizontal="center" vertical="center"/>
    </xf>
    <xf numFmtId="1" fontId="9" fillId="29" borderId="0" xfId="97" applyNumberFormat="1" applyFill="1" applyAlignment="1" applyProtection="1">
      <alignment horizontal="center" vertical="center"/>
      <protection hidden="1"/>
    </xf>
    <xf numFmtId="0" fontId="9" fillId="14" borderId="0" xfId="0" applyFont="1" applyFill="1" applyAlignment="1" applyProtection="1">
      <alignment wrapText="1"/>
      <protection hidden="1"/>
    </xf>
    <xf numFmtId="0" fontId="9" fillId="13" borderId="0" xfId="97" applyFill="1" applyAlignment="1" applyProtection="1">
      <alignment horizontal="right" vertical="center"/>
      <protection hidden="1"/>
    </xf>
    <xf numFmtId="0" fontId="10" fillId="0" borderId="19" xfId="96" applyFont="1" applyBorder="1" applyAlignment="1" applyProtection="1">
      <alignment wrapText="1"/>
      <protection hidden="1"/>
    </xf>
    <xf numFmtId="1" fontId="9" fillId="38" borderId="19" xfId="54" applyNumberFormat="1" applyFont="1" applyFill="1" applyBorder="1" applyAlignment="1" applyProtection="1">
      <alignment horizontal="center" vertical="center"/>
      <protection hidden="1"/>
    </xf>
    <xf numFmtId="0" fontId="9" fillId="38" borderId="7" xfId="96" applyFill="1" applyBorder="1" applyAlignment="1" applyProtection="1">
      <alignment horizontal="center" vertical="center" wrapText="1"/>
      <protection hidden="1"/>
    </xf>
    <xf numFmtId="0" fontId="59" fillId="38" borderId="7" xfId="0" applyFont="1" applyFill="1" applyBorder="1" applyAlignment="1">
      <alignment horizontal="center" vertical="center" wrapText="1"/>
    </xf>
    <xf numFmtId="0" fontId="9" fillId="0" borderId="7" xfId="96" applyBorder="1" applyAlignment="1" applyProtection="1">
      <alignment vertical="center" wrapText="1"/>
      <protection hidden="1"/>
    </xf>
    <xf numFmtId="0" fontId="72" fillId="0" borderId="35" xfId="0" applyFont="1" applyBorder="1" applyAlignment="1" applyProtection="1">
      <alignment vertical="center" wrapText="1"/>
      <protection hidden="1"/>
    </xf>
    <xf numFmtId="0" fontId="72" fillId="0" borderId="36" xfId="0" applyFont="1" applyBorder="1" applyAlignment="1" applyProtection="1">
      <alignment vertical="center" wrapText="1"/>
      <protection hidden="1"/>
    </xf>
    <xf numFmtId="211" fontId="19" fillId="0" borderId="7" xfId="54" applyNumberFormat="1" applyFont="1" applyFill="1" applyBorder="1" applyAlignment="1" applyProtection="1">
      <alignment horizontal="center" vertical="center"/>
      <protection hidden="1"/>
    </xf>
    <xf numFmtId="211" fontId="35" fillId="0" borderId="7" xfId="54" applyNumberFormat="1" applyFont="1" applyFill="1" applyBorder="1" applyAlignment="1" applyProtection="1">
      <alignment horizontal="right" vertical="center" wrapText="1"/>
      <protection hidden="1"/>
    </xf>
    <xf numFmtId="211" fontId="72" fillId="0" borderId="36" xfId="54" applyNumberFormat="1" applyFont="1" applyFill="1" applyBorder="1" applyAlignment="1" applyProtection="1">
      <alignment vertical="center" wrapText="1"/>
      <protection hidden="1"/>
    </xf>
    <xf numFmtId="211" fontId="19" fillId="0" borderId="7" xfId="54" applyNumberFormat="1" applyFont="1" applyFill="1" applyBorder="1" applyAlignment="1" applyProtection="1">
      <alignment vertical="center"/>
      <protection hidden="1"/>
    </xf>
    <xf numFmtId="0" fontId="57" fillId="0" borderId="0" xfId="124" applyFont="1" applyAlignment="1">
      <alignment horizontal="left" vertical="center"/>
    </xf>
    <xf numFmtId="174" fontId="55" fillId="0" borderId="0" xfId="62" applyNumberFormat="1" applyFont="1" applyFill="1" applyBorder="1" applyAlignment="1" applyProtection="1">
      <alignment horizontal="right" wrapText="1"/>
      <protection hidden="1"/>
    </xf>
    <xf numFmtId="0" fontId="19"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57" fillId="0" borderId="0" xfId="0" applyFont="1" applyAlignment="1" applyProtection="1">
      <alignment horizontal="center" vertical="center" wrapText="1"/>
      <protection hidden="1"/>
    </xf>
    <xf numFmtId="174" fontId="13" fillId="0" borderId="0" xfId="62" applyNumberFormat="1" applyFont="1" applyFill="1" applyBorder="1" applyAlignment="1" applyProtection="1">
      <alignment horizontal="right" vertical="center" wrapText="1"/>
      <protection hidden="1"/>
    </xf>
    <xf numFmtId="174" fontId="17" fillId="0" borderId="0" xfId="62" applyNumberFormat="1" applyFont="1" applyFill="1" applyBorder="1" applyAlignment="1" applyProtection="1">
      <alignment horizontal="right" vertical="center" wrapText="1"/>
      <protection hidden="1"/>
    </xf>
    <xf numFmtId="174" fontId="55" fillId="0" borderId="0" xfId="62" applyNumberFormat="1" applyFont="1" applyFill="1" applyBorder="1" applyAlignment="1" applyProtection="1">
      <alignment horizontal="right" vertical="center" wrapText="1"/>
      <protection hidden="1"/>
    </xf>
    <xf numFmtId="174" fontId="12" fillId="0" borderId="0" xfId="62" applyNumberFormat="1" applyFont="1" applyFill="1" applyBorder="1" applyAlignment="1" applyProtection="1">
      <alignment horizontal="right" vertical="center" wrapText="1"/>
      <protection hidden="1"/>
    </xf>
    <xf numFmtId="174" fontId="35" fillId="0" borderId="0" xfId="0" applyNumberFormat="1" applyFont="1" applyAlignment="1" applyProtection="1">
      <alignment horizontal="right" vertical="center" wrapText="1"/>
      <protection hidden="1"/>
    </xf>
    <xf numFmtId="211" fontId="35" fillId="0" borderId="0" xfId="54" applyNumberFormat="1" applyFont="1" applyFill="1" applyBorder="1" applyAlignment="1" applyProtection="1">
      <alignment horizontal="right" vertical="center" wrapText="1"/>
      <protection hidden="1"/>
    </xf>
    <xf numFmtId="173" fontId="9" fillId="0" borderId="0" xfId="0" applyNumberFormat="1" applyFont="1" applyAlignment="1" applyProtection="1">
      <alignment vertical="center"/>
      <protection hidden="1"/>
    </xf>
    <xf numFmtId="176" fontId="10" fillId="0" borderId="0" xfId="62" applyNumberFormat="1" applyFont="1" applyFill="1" applyBorder="1" applyAlignment="1" applyProtection="1">
      <alignment vertical="center"/>
      <protection hidden="1"/>
    </xf>
    <xf numFmtId="173" fontId="10" fillId="0" borderId="0" xfId="62" applyNumberFormat="1" applyFont="1" applyFill="1" applyBorder="1" applyAlignment="1" applyProtection="1">
      <alignment vertical="center"/>
      <protection hidden="1"/>
    </xf>
    <xf numFmtId="0" fontId="10" fillId="0" borderId="0" xfId="0" applyFont="1" applyAlignment="1" applyProtection="1">
      <alignment horizontal="left" vertical="top"/>
      <protection hidden="1"/>
    </xf>
    <xf numFmtId="167" fontId="9" fillId="25" borderId="7" xfId="54" applyFont="1" applyFill="1" applyBorder="1" applyProtection="1">
      <protection hidden="1"/>
    </xf>
    <xf numFmtId="211" fontId="9" fillId="0" borderId="7" xfId="0" applyNumberFormat="1" applyFont="1" applyBorder="1" applyProtection="1">
      <protection hidden="1"/>
    </xf>
    <xf numFmtId="215" fontId="9" fillId="0" borderId="7" xfId="0" applyNumberFormat="1" applyFont="1" applyBorder="1" applyProtection="1">
      <protection hidden="1"/>
    </xf>
    <xf numFmtId="178" fontId="9" fillId="0" borderId="7" xfId="0" applyNumberFormat="1" applyFont="1" applyBorder="1" applyProtection="1">
      <protection hidden="1"/>
    </xf>
    <xf numFmtId="0" fontId="9" fillId="15" borderId="0" xfId="0" applyFont="1" applyFill="1" applyProtection="1">
      <protection hidden="1"/>
    </xf>
    <xf numFmtId="176" fontId="59" fillId="0" borderId="7" xfId="48" applyNumberFormat="1" applyFont="1" applyFill="1" applyBorder="1" applyAlignment="1" applyProtection="1">
      <alignment vertical="center"/>
      <protection hidden="1"/>
    </xf>
    <xf numFmtId="3" fontId="9" fillId="35" borderId="7" xfId="96" applyNumberFormat="1" applyFill="1" applyBorder="1" applyAlignment="1" applyProtection="1">
      <alignment horizontal="left" vertical="center"/>
      <protection hidden="1"/>
    </xf>
    <xf numFmtId="3" fontId="9" fillId="35" borderId="7" xfId="96" applyNumberFormat="1" applyFill="1" applyBorder="1" applyAlignment="1" applyProtection="1">
      <alignment horizontal="center" vertical="center"/>
      <protection hidden="1"/>
    </xf>
    <xf numFmtId="0" fontId="9" fillId="35" borderId="7" xfId="96" applyFill="1" applyBorder="1" applyAlignment="1" applyProtection="1">
      <alignment vertical="center"/>
      <protection hidden="1"/>
    </xf>
    <xf numFmtId="0" fontId="9" fillId="35" borderId="7" xfId="96" applyFill="1" applyBorder="1" applyAlignment="1" applyProtection="1">
      <alignment horizontal="center" vertical="center"/>
      <protection hidden="1"/>
    </xf>
    <xf numFmtId="176" fontId="9" fillId="35" borderId="7" xfId="48" applyNumberFormat="1" applyFont="1" applyFill="1" applyBorder="1" applyAlignment="1" applyProtection="1">
      <alignment horizontal="center" vertical="center"/>
      <protection hidden="1"/>
    </xf>
    <xf numFmtId="0" fontId="9" fillId="0" borderId="7" xfId="96" applyBorder="1" applyAlignment="1" applyProtection="1">
      <alignment horizontal="left" vertical="center"/>
      <protection hidden="1"/>
    </xf>
    <xf numFmtId="176" fontId="9" fillId="35" borderId="7" xfId="48" applyNumberFormat="1" applyFont="1" applyFill="1" applyBorder="1" applyAlignment="1" applyProtection="1">
      <alignment horizontal="left" vertical="center"/>
      <protection hidden="1"/>
    </xf>
    <xf numFmtId="0" fontId="9" fillId="35" borderId="7" xfId="96" applyFill="1" applyBorder="1" applyAlignment="1" applyProtection="1">
      <alignment horizontal="center" vertical="center" wrapText="1"/>
      <protection hidden="1"/>
    </xf>
    <xf numFmtId="0" fontId="9" fillId="0" borderId="35" xfId="66" applyBorder="1" applyAlignment="1" applyProtection="1">
      <alignment horizontal="center" vertical="center"/>
      <protection locked="0"/>
    </xf>
    <xf numFmtId="0" fontId="8" fillId="0" borderId="7" xfId="97" applyFont="1" applyBorder="1" applyAlignment="1" applyProtection="1">
      <alignment horizontal="center" vertical="center"/>
      <protection locked="0"/>
    </xf>
    <xf numFmtId="0" fontId="9" fillId="0" borderId="55" xfId="97" applyBorder="1" applyAlignment="1" applyProtection="1">
      <alignment horizontal="center" vertical="center"/>
      <protection locked="0"/>
    </xf>
    <xf numFmtId="0" fontId="59" fillId="0" borderId="0" xfId="124" applyFont="1" applyAlignment="1">
      <alignment horizontal="center"/>
    </xf>
    <xf numFmtId="213" fontId="10" fillId="27" borderId="7" xfId="62" applyNumberFormat="1" applyFont="1" applyFill="1" applyBorder="1" applyAlignment="1" applyProtection="1">
      <alignment horizontal="center" vertical="center"/>
    </xf>
    <xf numFmtId="213" fontId="10" fillId="33" borderId="7" xfId="62" applyNumberFormat="1" applyFont="1" applyFill="1" applyBorder="1" applyAlignment="1" applyProtection="1">
      <alignment horizontal="center" vertical="center"/>
    </xf>
    <xf numFmtId="176" fontId="9" fillId="25" borderId="0" xfId="48" applyNumberFormat="1" applyFont="1" applyFill="1" applyProtection="1">
      <protection hidden="1"/>
    </xf>
    <xf numFmtId="0" fontId="0" fillId="0" borderId="0" xfId="0" applyAlignment="1">
      <alignment vertical="center"/>
    </xf>
    <xf numFmtId="0" fontId="82" fillId="23" borderId="7" xfId="0" applyFont="1" applyFill="1" applyBorder="1" applyAlignment="1">
      <alignment horizontal="center" vertical="center" wrapText="1"/>
    </xf>
    <xf numFmtId="0" fontId="82" fillId="26" borderId="7" xfId="0" applyFont="1" applyFill="1" applyBorder="1" applyAlignment="1">
      <alignment horizontal="center" vertical="center" wrapText="1"/>
    </xf>
    <xf numFmtId="0" fontId="0" fillId="0" borderId="7" xfId="0" applyBorder="1" applyAlignment="1">
      <alignment horizontal="center" vertical="center"/>
    </xf>
    <xf numFmtId="213" fontId="9" fillId="10" borderId="7" xfId="62" applyNumberFormat="1" applyFont="1" applyFill="1" applyBorder="1" applyAlignment="1" applyProtection="1">
      <alignment horizontal="center" vertical="center"/>
    </xf>
    <xf numFmtId="0" fontId="0" fillId="0" borderId="0" xfId="0" applyAlignment="1">
      <alignment horizontal="center" vertical="center"/>
    </xf>
    <xf numFmtId="0" fontId="59" fillId="0" borderId="0" xfId="0" applyFont="1" applyAlignment="1">
      <alignment horizontal="justify" vertical="center" wrapText="1"/>
    </xf>
    <xf numFmtId="213" fontId="10" fillId="0" borderId="7" xfId="62" applyNumberFormat="1" applyFont="1" applyFill="1" applyBorder="1" applyAlignment="1" applyProtection="1">
      <alignment horizontal="center" vertical="center" wrapText="1"/>
    </xf>
    <xf numFmtId="0" fontId="82" fillId="0" borderId="7" xfId="0" applyFont="1" applyBorder="1"/>
    <xf numFmtId="213" fontId="10" fillId="0" borderId="7" xfId="62" applyNumberFormat="1" applyFont="1" applyFill="1" applyBorder="1" applyAlignment="1" applyProtection="1">
      <alignment horizontal="center" vertical="center"/>
    </xf>
    <xf numFmtId="213" fontId="9" fillId="0" borderId="7" xfId="62" applyNumberFormat="1" applyFont="1" applyFill="1" applyBorder="1" applyAlignment="1" applyProtection="1">
      <alignment horizontal="center" vertical="center"/>
    </xf>
    <xf numFmtId="0" fontId="82" fillId="26" borderId="5" xfId="0" applyFont="1" applyFill="1" applyBorder="1" applyAlignment="1">
      <alignment horizontal="center" vertical="center" wrapText="1"/>
    </xf>
    <xf numFmtId="0" fontId="78" fillId="39" borderId="7" xfId="0" applyFont="1" applyFill="1" applyBorder="1" applyAlignment="1">
      <alignment horizontal="center" vertical="center" wrapText="1"/>
    </xf>
    <xf numFmtId="178" fontId="82" fillId="0" borderId="7" xfId="54" applyNumberFormat="1" applyFont="1" applyBorder="1" applyAlignment="1">
      <alignment horizontal="center" vertical="center" wrapText="1"/>
    </xf>
    <xf numFmtId="178" fontId="26" fillId="0" borderId="0" xfId="104" applyNumberFormat="1" applyFont="1" applyFill="1" applyAlignment="1" applyProtection="1">
      <alignment vertical="center"/>
      <protection hidden="1"/>
    </xf>
    <xf numFmtId="0" fontId="68" fillId="0" borderId="54" xfId="0" applyFont="1" applyBorder="1" applyAlignment="1" applyProtection="1">
      <alignment vertical="center"/>
      <protection hidden="1"/>
    </xf>
    <xf numFmtId="180" fontId="63" fillId="0" borderId="7" xfId="101" applyNumberFormat="1" applyFont="1" applyBorder="1" applyAlignment="1" applyProtection="1">
      <alignment vertical="center"/>
      <protection hidden="1"/>
    </xf>
    <xf numFmtId="0" fontId="75" fillId="0" borderId="0" xfId="126" applyAlignment="1" applyProtection="1">
      <alignment vertical="center"/>
      <protection locked="0"/>
    </xf>
    <xf numFmtId="0" fontId="9" fillId="0" borderId="0" xfId="91" applyAlignment="1" applyProtection="1">
      <alignment vertical="center"/>
      <protection locked="0"/>
    </xf>
    <xf numFmtId="0" fontId="9" fillId="0" borderId="0" xfId="71" applyFont="1" applyAlignment="1" applyProtection="1">
      <alignment vertical="center"/>
      <protection locked="0"/>
    </xf>
    <xf numFmtId="0" fontId="71" fillId="0" borderId="0" xfId="71" applyFont="1" applyAlignment="1" applyProtection="1">
      <alignment vertical="center" wrapText="1"/>
      <protection hidden="1"/>
    </xf>
    <xf numFmtId="0" fontId="9" fillId="0" borderId="0" xfId="71" applyFont="1" applyAlignment="1" applyProtection="1">
      <alignment horizontal="center" vertical="center"/>
      <protection locked="0"/>
    </xf>
    <xf numFmtId="172" fontId="9" fillId="0" borderId="0" xfId="71" applyNumberFormat="1" applyFont="1" applyAlignment="1" applyProtection="1">
      <alignment horizontal="center" vertical="center"/>
      <protection locked="0"/>
    </xf>
    <xf numFmtId="0" fontId="9" fillId="0" borderId="0" xfId="71" applyFont="1" applyAlignment="1" applyProtection="1">
      <alignment horizontal="center" vertical="center" wrapText="1"/>
      <protection locked="0"/>
    </xf>
    <xf numFmtId="0" fontId="9" fillId="0" borderId="0" xfId="71" applyFont="1" applyAlignment="1" applyProtection="1">
      <alignment horizontal="left" vertical="center" wrapText="1"/>
      <protection locked="0"/>
    </xf>
    <xf numFmtId="0" fontId="9" fillId="0" borderId="0" xfId="71" applyFont="1" applyAlignment="1" applyProtection="1">
      <alignment vertical="center" wrapText="1"/>
      <protection locked="0"/>
    </xf>
    <xf numFmtId="0" fontId="9" fillId="0" borderId="0" xfId="71" applyFont="1" applyProtection="1">
      <protection locked="0"/>
    </xf>
    <xf numFmtId="172" fontId="9" fillId="0" borderId="0" xfId="71" applyNumberFormat="1" applyFont="1" applyProtection="1">
      <protection locked="0"/>
    </xf>
    <xf numFmtId="0" fontId="10" fillId="0" borderId="9" xfId="91" applyFont="1" applyBorder="1" applyAlignment="1" applyProtection="1">
      <alignment horizontal="center" vertical="center" wrapText="1"/>
      <protection locked="0"/>
    </xf>
    <xf numFmtId="0" fontId="10" fillId="0" borderId="0" xfId="91" applyFont="1" applyAlignment="1" applyProtection="1">
      <alignment horizontal="center" vertical="center" wrapText="1"/>
      <protection locked="0"/>
    </xf>
    <xf numFmtId="172" fontId="10" fillId="0" borderId="0" xfId="91" applyNumberFormat="1" applyFont="1" applyAlignment="1" applyProtection="1">
      <alignment horizontal="center" vertical="center" wrapText="1"/>
      <protection locked="0"/>
    </xf>
    <xf numFmtId="0" fontId="10" fillId="0" borderId="0" xfId="91" applyFont="1" applyAlignment="1" applyProtection="1">
      <alignment horizontal="center" vertical="center"/>
      <protection locked="0"/>
    </xf>
    <xf numFmtId="0" fontId="10" fillId="28" borderId="7" xfId="91" applyFont="1" applyFill="1" applyBorder="1" applyAlignment="1" applyProtection="1">
      <alignment horizontal="center" vertical="center" wrapText="1"/>
      <protection locked="0"/>
    </xf>
    <xf numFmtId="0" fontId="10" fillId="0" borderId="18" xfId="91" applyFont="1" applyBorder="1" applyAlignment="1" applyProtection="1">
      <alignment horizontal="center" vertical="center" wrapText="1"/>
      <protection locked="0"/>
    </xf>
    <xf numFmtId="0" fontId="9" fillId="0" borderId="7" xfId="71" applyFont="1" applyBorder="1" applyAlignment="1" applyProtection="1">
      <alignment horizontal="center" vertical="center" wrapText="1"/>
      <protection locked="0"/>
    </xf>
    <xf numFmtId="9" fontId="9" fillId="0" borderId="7" xfId="91" applyNumberFormat="1" applyBorder="1" applyAlignment="1" applyProtection="1">
      <alignment horizontal="center" vertical="center"/>
      <protection locked="0"/>
    </xf>
    <xf numFmtId="172" fontId="9" fillId="0" borderId="7" xfId="91" applyNumberFormat="1" applyBorder="1" applyAlignment="1" applyProtection="1">
      <alignment horizontal="center" vertical="center"/>
      <protection hidden="1"/>
    </xf>
    <xf numFmtId="0" fontId="9" fillId="0" borderId="7" xfId="91" applyBorder="1" applyAlignment="1" applyProtection="1">
      <alignment horizontal="center" vertical="center" wrapText="1"/>
      <protection locked="0"/>
    </xf>
    <xf numFmtId="1" fontId="10" fillId="0" borderId="7" xfId="91" applyNumberFormat="1" applyFont="1" applyBorder="1" applyAlignment="1" applyProtection="1">
      <alignment horizontal="center" vertical="center" wrapText="1"/>
      <protection locked="0"/>
    </xf>
    <xf numFmtId="1" fontId="10" fillId="0" borderId="35" xfId="91" applyNumberFormat="1" applyFont="1" applyBorder="1" applyAlignment="1" applyProtection="1">
      <alignment horizontal="center" vertical="center" wrapText="1"/>
      <protection locked="0"/>
    </xf>
    <xf numFmtId="1" fontId="10" fillId="0" borderId="20" xfId="91" applyNumberFormat="1" applyFont="1" applyBorder="1" applyAlignment="1" applyProtection="1">
      <alignment horizontal="center" vertical="center" wrapText="1"/>
      <protection locked="0"/>
    </xf>
    <xf numFmtId="1" fontId="11" fillId="0" borderId="0" xfId="91" applyNumberFormat="1" applyFont="1" applyAlignment="1" applyProtection="1">
      <alignment horizontal="left" vertical="center"/>
      <protection locked="0"/>
    </xf>
    <xf numFmtId="0" fontId="10" fillId="0" borderId="0" xfId="91" applyFont="1" applyAlignment="1" applyProtection="1">
      <alignment vertical="center"/>
      <protection locked="0"/>
    </xf>
    <xf numFmtId="0" fontId="10" fillId="41" borderId="18" xfId="91" applyFont="1" applyFill="1" applyBorder="1" applyAlignment="1" applyProtection="1">
      <alignment vertical="center" wrapText="1"/>
      <protection locked="0"/>
    </xf>
    <xf numFmtId="0" fontId="9" fillId="41" borderId="7" xfId="71" applyFont="1" applyFill="1" applyBorder="1" applyAlignment="1" applyProtection="1">
      <alignment horizontal="justify" vertical="justify" wrapText="1"/>
      <protection locked="0"/>
    </xf>
    <xf numFmtId="9" fontId="9" fillId="41" borderId="7" xfId="91" applyNumberFormat="1" applyFill="1" applyBorder="1" applyAlignment="1" applyProtection="1">
      <alignment horizontal="center" vertical="center"/>
      <protection locked="0"/>
    </xf>
    <xf numFmtId="172" fontId="9" fillId="41" borderId="7" xfId="91" applyNumberFormat="1" applyFill="1" applyBorder="1" applyAlignment="1" applyProtection="1">
      <alignment horizontal="center" vertical="center"/>
      <protection hidden="1"/>
    </xf>
    <xf numFmtId="0" fontId="9" fillId="41" borderId="7" xfId="91" applyFill="1" applyBorder="1" applyAlignment="1" applyProtection="1">
      <alignment horizontal="center" vertical="center" wrapText="1"/>
      <protection locked="0"/>
    </xf>
    <xf numFmtId="1" fontId="9" fillId="41" borderId="7" xfId="91" applyNumberFormat="1" applyFill="1" applyBorder="1" applyAlignment="1" applyProtection="1">
      <alignment horizontal="center" vertical="center"/>
      <protection locked="0"/>
    </xf>
    <xf numFmtId="0" fontId="10" fillId="40" borderId="55" xfId="91" applyFont="1" applyFill="1" applyBorder="1" applyAlignment="1" applyProtection="1">
      <alignment vertical="center"/>
      <protection hidden="1"/>
    </xf>
    <xf numFmtId="10" fontId="10" fillId="26" borderId="7" xfId="91" applyNumberFormat="1" applyFont="1" applyFill="1" applyBorder="1" applyAlignment="1">
      <alignment vertical="center" wrapText="1"/>
    </xf>
    <xf numFmtId="0" fontId="10" fillId="40" borderId="80" xfId="91" applyFont="1" applyFill="1" applyBorder="1" applyAlignment="1" applyProtection="1">
      <alignment vertical="center" wrapText="1"/>
      <protection locked="0"/>
    </xf>
    <xf numFmtId="10" fontId="10" fillId="26" borderId="14" xfId="91" applyNumberFormat="1" applyFont="1" applyFill="1" applyBorder="1" applyAlignment="1" applyProtection="1">
      <alignment vertical="center" wrapText="1"/>
      <protection locked="0"/>
    </xf>
    <xf numFmtId="167" fontId="10" fillId="0" borderId="0" xfId="62" applyFont="1" applyFill="1" applyBorder="1" applyAlignment="1" applyProtection="1">
      <alignment vertical="center" wrapText="1"/>
      <protection locked="0"/>
    </xf>
    <xf numFmtId="9" fontId="9" fillId="0" borderId="0" xfId="91" applyNumberFormat="1" applyAlignment="1" applyProtection="1">
      <alignment vertical="center"/>
      <protection locked="0"/>
    </xf>
    <xf numFmtId="172" fontId="9" fillId="0" borderId="0" xfId="91" applyNumberFormat="1" applyAlignment="1" applyProtection="1">
      <alignment vertical="center"/>
      <protection locked="0"/>
    </xf>
    <xf numFmtId="0" fontId="10" fillId="28" borderId="20" xfId="91" applyFont="1" applyFill="1" applyBorder="1" applyAlignment="1" applyProtection="1">
      <alignment horizontal="center" vertical="center" wrapText="1"/>
      <protection locked="0"/>
    </xf>
    <xf numFmtId="174" fontId="9" fillId="0" borderId="18" xfId="91" applyNumberFormat="1" applyBorder="1" applyAlignment="1" applyProtection="1">
      <alignment vertical="center"/>
      <protection locked="0"/>
    </xf>
    <xf numFmtId="174" fontId="9" fillId="0" borderId="7" xfId="91" applyNumberFormat="1" applyBorder="1" applyAlignment="1" applyProtection="1">
      <alignment vertical="center"/>
      <protection locked="0"/>
    </xf>
    <xf numFmtId="173" fontId="9" fillId="0" borderId="7" xfId="91" applyNumberFormat="1" applyBorder="1" applyAlignment="1" applyProtection="1">
      <alignment vertical="center"/>
      <protection locked="0"/>
    </xf>
    <xf numFmtId="173" fontId="9" fillId="0" borderId="20" xfId="91" applyNumberFormat="1" applyBorder="1" applyAlignment="1" applyProtection="1">
      <alignment vertical="center"/>
      <protection locked="0"/>
    </xf>
    <xf numFmtId="1" fontId="9" fillId="0" borderId="0" xfId="91" applyNumberFormat="1" applyAlignment="1" applyProtection="1">
      <alignment vertical="center"/>
      <protection locked="0"/>
    </xf>
    <xf numFmtId="10" fontId="9" fillId="26" borderId="7" xfId="91" applyNumberFormat="1" applyFill="1" applyBorder="1" applyAlignment="1" applyProtection="1">
      <alignment vertical="center"/>
      <protection locked="0"/>
    </xf>
    <xf numFmtId="10" fontId="9" fillId="26" borderId="20" xfId="91" applyNumberFormat="1" applyFill="1" applyBorder="1" applyAlignment="1" applyProtection="1">
      <alignment vertical="center"/>
      <protection locked="0"/>
    </xf>
    <xf numFmtId="167" fontId="9" fillId="0" borderId="7" xfId="62" applyFont="1" applyFill="1" applyBorder="1" applyAlignment="1" applyProtection="1">
      <alignment vertical="center"/>
      <protection locked="0"/>
    </xf>
    <xf numFmtId="9" fontId="9" fillId="26" borderId="7" xfId="91" applyNumberFormat="1" applyFill="1" applyBorder="1" applyAlignment="1" applyProtection="1">
      <alignment vertical="center"/>
      <protection locked="0"/>
    </xf>
    <xf numFmtId="9" fontId="9" fillId="26" borderId="20" xfId="91" applyNumberFormat="1" applyFill="1" applyBorder="1" applyAlignment="1" applyProtection="1">
      <alignment vertical="center"/>
      <protection locked="0"/>
    </xf>
    <xf numFmtId="9" fontId="9" fillId="26" borderId="14" xfId="91" applyNumberFormat="1" applyFill="1" applyBorder="1" applyAlignment="1" applyProtection="1">
      <alignment vertical="center"/>
      <protection locked="0"/>
    </xf>
    <xf numFmtId="0" fontId="19" fillId="0" borderId="0" xfId="91" applyFont="1" applyAlignment="1" applyProtection="1">
      <alignment horizontal="justify" vertical="center" wrapText="1"/>
      <protection locked="0"/>
    </xf>
    <xf numFmtId="9" fontId="9" fillId="26" borderId="8" xfId="91" applyNumberFormat="1" applyFill="1" applyBorder="1" applyAlignment="1" applyProtection="1">
      <alignment vertical="center"/>
      <protection locked="0"/>
    </xf>
    <xf numFmtId="9" fontId="9" fillId="26" borderId="0" xfId="91" applyNumberFormat="1" applyFill="1" applyAlignment="1" applyProtection="1">
      <alignment vertical="center"/>
      <protection locked="0"/>
    </xf>
    <xf numFmtId="0" fontId="9" fillId="0" borderId="0" xfId="91" applyAlignment="1" applyProtection="1">
      <alignment horizontal="center" vertical="center"/>
      <protection locked="0"/>
    </xf>
    <xf numFmtId="0" fontId="9" fillId="28" borderId="7" xfId="91" applyFill="1" applyBorder="1" applyAlignment="1" applyProtection="1">
      <alignment vertical="center"/>
      <protection locked="0"/>
    </xf>
    <xf numFmtId="0" fontId="10" fillId="0" borderId="7" xfId="91" applyFont="1" applyBorder="1" applyAlignment="1" applyProtection="1">
      <alignment vertical="center" wrapText="1"/>
      <protection locked="0"/>
    </xf>
    <xf numFmtId="167" fontId="9" fillId="0" borderId="7" xfId="62" applyFont="1" applyFill="1" applyBorder="1" applyAlignment="1" applyProtection="1">
      <alignment horizontal="center" vertical="center" wrapText="1"/>
      <protection locked="0"/>
    </xf>
    <xf numFmtId="167" fontId="10" fillId="28" borderId="20" xfId="91" applyNumberFormat="1" applyFont="1" applyFill="1" applyBorder="1" applyAlignment="1" applyProtection="1">
      <alignment horizontal="center" vertical="center" wrapText="1"/>
      <protection locked="0"/>
    </xf>
    <xf numFmtId="0" fontId="9" fillId="26" borderId="7" xfId="91" applyFill="1" applyBorder="1" applyAlignment="1" applyProtection="1">
      <alignment vertical="center"/>
      <protection locked="0"/>
    </xf>
    <xf numFmtId="172" fontId="9" fillId="26" borderId="7" xfId="91" applyNumberFormat="1" applyFill="1" applyBorder="1" applyAlignment="1" applyProtection="1">
      <alignment vertical="center"/>
      <protection locked="0"/>
    </xf>
    <xf numFmtId="0" fontId="9" fillId="0" borderId="20" xfId="91" applyBorder="1" applyAlignment="1" applyProtection="1">
      <alignment vertical="center"/>
      <protection locked="0"/>
    </xf>
    <xf numFmtId="0" fontId="9" fillId="26" borderId="7" xfId="91" applyFill="1" applyBorder="1" applyAlignment="1" applyProtection="1">
      <alignment vertical="center" wrapText="1"/>
      <protection locked="0"/>
    </xf>
    <xf numFmtId="9" fontId="9" fillId="26" borderId="21" xfId="91" applyNumberFormat="1" applyFill="1" applyBorder="1" applyAlignment="1" applyProtection="1">
      <alignment vertical="center"/>
      <protection locked="0"/>
    </xf>
    <xf numFmtId="9" fontId="10" fillId="28" borderId="22" xfId="104" applyFont="1" applyFill="1" applyBorder="1" applyAlignment="1" applyProtection="1">
      <alignment vertical="center"/>
      <protection locked="0"/>
    </xf>
    <xf numFmtId="0" fontId="10" fillId="26" borderId="21" xfId="91" applyFont="1" applyFill="1" applyBorder="1" applyAlignment="1" applyProtection="1">
      <alignment horizontal="right" vertical="center"/>
      <protection locked="0"/>
    </xf>
    <xf numFmtId="9" fontId="10" fillId="28" borderId="21" xfId="104" applyFont="1" applyFill="1" applyBorder="1" applyAlignment="1" applyProtection="1">
      <alignment vertical="center"/>
      <protection locked="0"/>
    </xf>
    <xf numFmtId="0" fontId="9" fillId="0" borderId="8" xfId="91" applyBorder="1" applyAlignment="1" applyProtection="1">
      <alignment vertical="center"/>
      <protection locked="0"/>
    </xf>
    <xf numFmtId="172" fontId="9" fillId="0" borderId="8" xfId="91" applyNumberFormat="1" applyBorder="1" applyAlignment="1" applyProtection="1">
      <alignment vertical="center"/>
      <protection locked="0"/>
    </xf>
    <xf numFmtId="0" fontId="9" fillId="0" borderId="8" xfId="91" applyBorder="1" applyAlignment="1" applyProtection="1">
      <alignment horizontal="center" vertical="center"/>
      <protection locked="0"/>
    </xf>
    <xf numFmtId="9" fontId="9" fillId="0" borderId="8" xfId="91" applyNumberFormat="1" applyBorder="1" applyAlignment="1" applyProtection="1">
      <alignment vertical="center"/>
      <protection locked="0"/>
    </xf>
    <xf numFmtId="44" fontId="11" fillId="0" borderId="8" xfId="91" applyNumberFormat="1" applyFont="1" applyBorder="1" applyAlignment="1" applyProtection="1">
      <alignment vertical="center"/>
      <protection locked="0"/>
    </xf>
    <xf numFmtId="216" fontId="11" fillId="0" borderId="0" xfId="91" applyNumberFormat="1" applyFont="1" applyAlignment="1" applyProtection="1">
      <alignment vertical="center"/>
      <protection locked="0"/>
    </xf>
    <xf numFmtId="0" fontId="9" fillId="0" borderId="26" xfId="91" applyBorder="1" applyAlignment="1" applyProtection="1">
      <alignment vertical="center"/>
      <protection locked="0"/>
    </xf>
    <xf numFmtId="172" fontId="10" fillId="0" borderId="0" xfId="76" applyNumberFormat="1" applyFont="1" applyAlignment="1" applyProtection="1">
      <alignment horizontal="center" vertical="center" wrapText="1"/>
      <protection locked="0"/>
    </xf>
    <xf numFmtId="0" fontId="10" fillId="0" borderId="0" xfId="76" applyFont="1" applyAlignment="1" applyProtection="1">
      <alignment vertical="center" wrapText="1"/>
      <protection locked="0"/>
    </xf>
    <xf numFmtId="0" fontId="9" fillId="0" borderId="0" xfId="76" applyAlignment="1" applyProtection="1">
      <alignment horizontal="center" vertical="center" wrapText="1"/>
      <protection locked="0"/>
    </xf>
    <xf numFmtId="0" fontId="9" fillId="0" borderId="0" xfId="76" applyAlignment="1" applyProtection="1">
      <alignment vertical="center" wrapText="1"/>
      <protection locked="0"/>
    </xf>
    <xf numFmtId="0" fontId="10" fillId="0" borderId="0" xfId="76" applyFont="1" applyAlignment="1" applyProtection="1">
      <alignment horizontal="center" vertical="center"/>
      <protection locked="0"/>
    </xf>
    <xf numFmtId="3" fontId="9" fillId="0" borderId="0" xfId="76" applyNumberFormat="1" applyAlignment="1" applyProtection="1">
      <alignment vertical="center" wrapText="1"/>
      <protection locked="0"/>
    </xf>
    <xf numFmtId="3" fontId="10" fillId="0" borderId="0" xfId="76" applyNumberFormat="1" applyFont="1" applyAlignment="1" applyProtection="1">
      <alignment horizontal="right" vertical="center" wrapText="1"/>
      <protection locked="0"/>
    </xf>
    <xf numFmtId="172" fontId="9" fillId="0" borderId="0" xfId="76" applyNumberFormat="1" applyAlignment="1" applyProtection="1">
      <alignment horizontal="center" vertical="center" wrapText="1"/>
      <protection locked="0"/>
    </xf>
    <xf numFmtId="3" fontId="9" fillId="0" borderId="0" xfId="76" applyNumberFormat="1" applyAlignment="1" applyProtection="1">
      <alignment horizontal="center" vertical="center"/>
      <protection locked="0"/>
    </xf>
    <xf numFmtId="10" fontId="10" fillId="0" borderId="7" xfId="91" applyNumberFormat="1" applyFont="1" applyBorder="1" applyAlignment="1">
      <alignment vertical="center" wrapText="1"/>
    </xf>
    <xf numFmtId="0" fontId="10" fillId="0" borderId="81" xfId="91" applyFont="1" applyBorder="1" applyAlignment="1" applyProtection="1">
      <alignment vertical="center" wrapText="1"/>
      <protection locked="0"/>
    </xf>
    <xf numFmtId="0" fontId="10" fillId="0" borderId="40" xfId="91" applyFont="1" applyBorder="1" applyAlignment="1" applyProtection="1">
      <alignment vertical="center" wrapText="1"/>
      <protection locked="0"/>
    </xf>
    <xf numFmtId="10" fontId="10" fillId="0" borderId="40" xfId="91" applyNumberFormat="1" applyFont="1" applyBorder="1" applyAlignment="1" applyProtection="1">
      <alignment vertical="center" wrapText="1"/>
      <protection locked="0"/>
    </xf>
    <xf numFmtId="0" fontId="10" fillId="40" borderId="7" xfId="91" applyFont="1" applyFill="1" applyBorder="1" applyAlignment="1" applyProtection="1">
      <alignment vertical="center"/>
      <protection hidden="1"/>
    </xf>
    <xf numFmtId="0" fontId="10" fillId="0" borderId="7" xfId="91" applyFont="1" applyBorder="1" applyAlignment="1" applyProtection="1">
      <alignment vertical="center"/>
      <protection hidden="1"/>
    </xf>
    <xf numFmtId="0" fontId="10" fillId="0" borderId="37" xfId="91" applyFont="1" applyBorder="1" applyAlignment="1" applyProtection="1">
      <alignment vertical="center"/>
      <protection hidden="1"/>
    </xf>
    <xf numFmtId="0" fontId="10" fillId="40" borderId="7" xfId="91" applyFont="1" applyFill="1" applyBorder="1" applyAlignment="1" applyProtection="1">
      <alignment vertical="center" wrapText="1"/>
      <protection locked="0"/>
    </xf>
    <xf numFmtId="167" fontId="9" fillId="26" borderId="42" xfId="62" applyFont="1" applyFill="1" applyBorder="1" applyAlignment="1" applyProtection="1">
      <alignment vertical="center"/>
      <protection locked="0"/>
    </xf>
    <xf numFmtId="167" fontId="9" fillId="30" borderId="14" xfId="62" applyFont="1" applyFill="1" applyBorder="1" applyAlignment="1" applyProtection="1">
      <alignment vertical="center"/>
      <protection locked="0"/>
    </xf>
    <xf numFmtId="0" fontId="9" fillId="0" borderId="91" xfId="91" applyBorder="1" applyAlignment="1" applyProtection="1">
      <alignment horizontal="center" vertical="center"/>
      <protection locked="0"/>
    </xf>
    <xf numFmtId="0" fontId="9" fillId="0" borderId="91" xfId="91" applyBorder="1" applyAlignment="1" applyProtection="1">
      <alignment vertical="center"/>
      <protection locked="0"/>
    </xf>
    <xf numFmtId="9" fontId="9" fillId="0" borderId="91" xfId="91" applyNumberFormat="1" applyBorder="1" applyAlignment="1" applyProtection="1">
      <alignment vertical="center"/>
      <protection locked="0"/>
    </xf>
    <xf numFmtId="180" fontId="26" fillId="0" borderId="7" xfId="101" applyNumberFormat="1" applyFont="1" applyBorder="1" applyAlignment="1" applyProtection="1">
      <alignment vertical="center"/>
      <protection hidden="1"/>
    </xf>
    <xf numFmtId="0" fontId="64" fillId="13" borderId="7" xfId="101" applyFont="1" applyFill="1" applyBorder="1" applyAlignment="1" applyProtection="1">
      <alignment horizontal="center" vertical="center"/>
      <protection hidden="1"/>
    </xf>
    <xf numFmtId="178" fontId="63" fillId="0" borderId="50" xfId="101" applyNumberFormat="1" applyFont="1" applyBorder="1" applyAlignment="1" applyProtection="1">
      <alignment vertical="center"/>
      <protection hidden="1"/>
    </xf>
    <xf numFmtId="178" fontId="63" fillId="0" borderId="51" xfId="101" applyNumberFormat="1" applyFont="1" applyBorder="1" applyAlignment="1" applyProtection="1">
      <alignment vertical="center"/>
      <protection hidden="1"/>
    </xf>
    <xf numFmtId="0" fontId="57" fillId="0" borderId="29" xfId="0" applyFont="1" applyBorder="1" applyAlignment="1" applyProtection="1">
      <alignment horizontal="center" vertical="center" wrapText="1"/>
      <protection hidden="1"/>
    </xf>
    <xf numFmtId="174" fontId="35" fillId="0" borderId="7" xfId="0" applyNumberFormat="1" applyFont="1" applyBorder="1" applyAlignment="1" applyProtection="1">
      <alignment horizontal="right" vertical="center" wrapText="1"/>
      <protection hidden="1"/>
    </xf>
    <xf numFmtId="178" fontId="55" fillId="0" borderId="7" xfId="54" applyNumberFormat="1" applyFont="1" applyFill="1" applyBorder="1" applyAlignment="1" applyProtection="1">
      <alignment horizontal="right" wrapText="1"/>
      <protection hidden="1"/>
    </xf>
    <xf numFmtId="178" fontId="35" fillId="0" borderId="7" xfId="54" applyNumberFormat="1" applyFont="1" applyFill="1" applyBorder="1" applyAlignment="1" applyProtection="1">
      <alignment horizontal="right" wrapText="1"/>
      <protection hidden="1"/>
    </xf>
    <xf numFmtId="178" fontId="9" fillId="0" borderId="7" xfId="54" applyNumberFormat="1" applyFont="1" applyFill="1" applyBorder="1" applyProtection="1">
      <protection hidden="1"/>
    </xf>
    <xf numFmtId="0" fontId="9" fillId="0" borderId="96" xfId="97" applyBorder="1" applyAlignment="1" applyProtection="1">
      <alignment horizontal="center" vertical="center"/>
      <protection locked="0"/>
    </xf>
    <xf numFmtId="0" fontId="9" fillId="10" borderId="7" xfId="97" applyFill="1" applyBorder="1" applyAlignment="1" applyProtection="1">
      <alignment horizontal="left" vertical="center" wrapText="1"/>
      <protection locked="0"/>
    </xf>
    <xf numFmtId="10" fontId="9" fillId="26" borderId="19" xfId="91" applyNumberFormat="1" applyFill="1" applyBorder="1" applyAlignment="1" applyProtection="1">
      <alignment vertical="center"/>
      <protection locked="0"/>
    </xf>
    <xf numFmtId="0" fontId="9" fillId="0" borderId="7" xfId="91" applyBorder="1" applyAlignment="1" applyProtection="1">
      <alignment vertical="center"/>
      <protection locked="0"/>
    </xf>
    <xf numFmtId="0" fontId="10" fillId="43" borderId="7" xfId="0" applyFont="1" applyFill="1" applyBorder="1" applyAlignment="1" applyProtection="1">
      <alignment horizontal="center" vertical="center"/>
      <protection hidden="1"/>
    </xf>
    <xf numFmtId="176" fontId="9" fillId="43" borderId="7" xfId="76" applyNumberFormat="1" applyFill="1" applyBorder="1" applyAlignment="1" applyProtection="1">
      <alignment horizontal="right" vertical="center" wrapText="1"/>
      <protection hidden="1"/>
    </xf>
    <xf numFmtId="0" fontId="9" fillId="43" borderId="7" xfId="0" applyFont="1" applyFill="1" applyBorder="1" applyAlignment="1" applyProtection="1">
      <alignment vertical="center"/>
      <protection hidden="1"/>
    </xf>
    <xf numFmtId="176" fontId="9" fillId="43" borderId="7" xfId="0" applyNumberFormat="1" applyFont="1" applyFill="1" applyBorder="1" applyAlignment="1" applyProtection="1">
      <alignment horizontal="right" vertical="center"/>
      <protection hidden="1"/>
    </xf>
    <xf numFmtId="176" fontId="10" fillId="43" borderId="7" xfId="62" applyNumberFormat="1" applyFont="1" applyFill="1" applyBorder="1" applyAlignment="1" applyProtection="1">
      <alignment vertical="center"/>
      <protection hidden="1"/>
    </xf>
    <xf numFmtId="0" fontId="10" fillId="35" borderId="7" xfId="0" applyFont="1" applyFill="1" applyBorder="1" applyAlignment="1" applyProtection="1">
      <alignment horizontal="center" vertical="center"/>
      <protection hidden="1"/>
    </xf>
    <xf numFmtId="207" fontId="9" fillId="35" borderId="7" xfId="0" applyNumberFormat="1" applyFont="1" applyFill="1" applyBorder="1" applyAlignment="1" applyProtection="1">
      <alignment horizontal="right" vertical="center"/>
      <protection hidden="1"/>
    </xf>
    <xf numFmtId="207" fontId="9" fillId="35" borderId="7" xfId="0" applyNumberFormat="1" applyFont="1" applyFill="1" applyBorder="1" applyAlignment="1" applyProtection="1">
      <alignment vertical="center"/>
      <protection hidden="1"/>
    </xf>
    <xf numFmtId="0" fontId="9" fillId="35" borderId="7" xfId="0" applyFont="1" applyFill="1" applyBorder="1" applyAlignment="1" applyProtection="1">
      <alignment vertical="center"/>
      <protection hidden="1"/>
    </xf>
    <xf numFmtId="176" fontId="9" fillId="35" borderId="7" xfId="0" applyNumberFormat="1" applyFont="1" applyFill="1" applyBorder="1" applyAlignment="1" applyProtection="1">
      <alignment horizontal="right" vertical="center"/>
      <protection hidden="1"/>
    </xf>
    <xf numFmtId="176" fontId="9" fillId="35" borderId="7" xfId="76" applyNumberFormat="1" applyFill="1" applyBorder="1" applyAlignment="1" applyProtection="1">
      <alignment horizontal="right" vertical="center" wrapText="1"/>
      <protection hidden="1"/>
    </xf>
    <xf numFmtId="176" fontId="10" fillId="35" borderId="7" xfId="62" applyNumberFormat="1" applyFont="1" applyFill="1" applyBorder="1" applyAlignment="1" applyProtection="1">
      <alignment vertical="center"/>
      <protection hidden="1"/>
    </xf>
    <xf numFmtId="0" fontId="82" fillId="26" borderId="45" xfId="0" applyFont="1" applyFill="1" applyBorder="1" applyAlignment="1">
      <alignment horizontal="center" vertical="center" wrapText="1"/>
    </xf>
    <xf numFmtId="0" fontId="82" fillId="26" borderId="19" xfId="0" applyFont="1" applyFill="1" applyBorder="1" applyAlignment="1">
      <alignment horizontal="center" vertical="center" wrapText="1"/>
    </xf>
    <xf numFmtId="0" fontId="10" fillId="32" borderId="0" xfId="96" applyFont="1" applyFill="1" applyAlignment="1" applyProtection="1">
      <alignment horizontal="centerContinuous" vertical="center" wrapText="1"/>
      <protection hidden="1"/>
    </xf>
    <xf numFmtId="0" fontId="10" fillId="35" borderId="7" xfId="96" applyFont="1" applyFill="1" applyBorder="1" applyAlignment="1" applyProtection="1">
      <alignment horizontal="centerContinuous" vertical="center" wrapText="1"/>
      <protection hidden="1"/>
    </xf>
    <xf numFmtId="0" fontId="10" fillId="32" borderId="32" xfId="96" applyFont="1" applyFill="1" applyBorder="1" applyAlignment="1" applyProtection="1">
      <alignment horizontal="centerContinuous" vertical="center" wrapText="1"/>
      <protection hidden="1"/>
    </xf>
    <xf numFmtId="0" fontId="10" fillId="32" borderId="85" xfId="96" applyFont="1" applyFill="1" applyBorder="1" applyAlignment="1" applyProtection="1">
      <alignment horizontal="centerContinuous" vertical="center" wrapText="1"/>
      <protection hidden="1"/>
    </xf>
    <xf numFmtId="0" fontId="10" fillId="32" borderId="19" xfId="96" applyFont="1" applyFill="1" applyBorder="1" applyAlignment="1" applyProtection="1">
      <alignment horizontal="centerContinuous" vertical="center" wrapText="1"/>
      <protection hidden="1"/>
    </xf>
    <xf numFmtId="176" fontId="9" fillId="0" borderId="7" xfId="48" applyNumberFormat="1" applyFont="1" applyFill="1" applyBorder="1" applyAlignment="1" applyProtection="1">
      <alignment horizontal="right" vertical="center"/>
      <protection hidden="1"/>
    </xf>
    <xf numFmtId="3" fontId="9" fillId="0" borderId="61" xfId="96" applyNumberFormat="1" applyBorder="1" applyAlignment="1" applyProtection="1">
      <alignment horizontal="center" vertical="center"/>
      <protection hidden="1"/>
    </xf>
    <xf numFmtId="4" fontId="9" fillId="0" borderId="61" xfId="96" applyNumberFormat="1" applyBorder="1" applyAlignment="1" applyProtection="1">
      <alignment vertical="center"/>
      <protection hidden="1"/>
    </xf>
    <xf numFmtId="176" fontId="9" fillId="0" borderId="61" xfId="96" applyNumberFormat="1" applyBorder="1" applyAlignment="1" applyProtection="1">
      <alignment vertical="center"/>
      <protection hidden="1"/>
    </xf>
    <xf numFmtId="176" fontId="9" fillId="0" borderId="61" xfId="96" applyNumberFormat="1" applyBorder="1" applyAlignment="1" applyProtection="1">
      <alignment horizontal="right" vertical="center"/>
      <protection hidden="1"/>
    </xf>
    <xf numFmtId="176" fontId="10" fillId="0" borderId="61" xfId="48" applyNumberFormat="1" applyFont="1" applyBorder="1" applyAlignment="1" applyProtection="1">
      <alignment horizontal="right" vertical="center"/>
      <protection hidden="1"/>
    </xf>
    <xf numFmtId="0" fontId="9" fillId="0" borderId="67" xfId="96" applyBorder="1" applyAlignment="1" applyProtection="1">
      <alignment horizontal="center" vertical="center"/>
      <protection hidden="1"/>
    </xf>
    <xf numFmtId="0" fontId="9" fillId="0" borderId="67" xfId="96" applyBorder="1" applyAlignment="1" applyProtection="1">
      <alignment vertical="center"/>
      <protection hidden="1"/>
    </xf>
    <xf numFmtId="176" fontId="10" fillId="0" borderId="67" xfId="96" applyNumberFormat="1" applyFont="1" applyBorder="1" applyAlignment="1" applyProtection="1">
      <alignment vertical="center"/>
      <protection hidden="1"/>
    </xf>
    <xf numFmtId="178" fontId="8" fillId="0" borderId="7" xfId="0" applyNumberFormat="1" applyFont="1" applyBorder="1" applyAlignment="1">
      <alignment horizontal="center" vertical="center"/>
    </xf>
    <xf numFmtId="0" fontId="26" fillId="14" borderId="18" xfId="95" applyFont="1" applyFill="1" applyBorder="1" applyAlignment="1" applyProtection="1">
      <alignment horizontal="center" vertical="center" wrapText="1"/>
      <protection hidden="1"/>
    </xf>
    <xf numFmtId="0" fontId="26" fillId="14" borderId="7" xfId="95" applyFont="1" applyFill="1" applyBorder="1" applyAlignment="1" applyProtection="1">
      <alignment horizontal="center" vertical="center" wrapText="1"/>
      <protection hidden="1"/>
    </xf>
    <xf numFmtId="3" fontId="26" fillId="14" borderId="7" xfId="95" applyNumberFormat="1" applyFont="1" applyFill="1" applyBorder="1" applyAlignment="1" applyProtection="1">
      <alignment horizontal="justify" vertical="center" wrapText="1"/>
      <protection hidden="1"/>
    </xf>
    <xf numFmtId="0" fontId="26" fillId="14" borderId="35" xfId="95" applyFont="1" applyFill="1" applyBorder="1" applyAlignment="1" applyProtection="1">
      <alignment horizontal="center" vertical="center"/>
      <protection hidden="1"/>
    </xf>
    <xf numFmtId="171" fontId="26" fillId="14" borderId="18" xfId="102" applyNumberFormat="1" applyFont="1" applyFill="1" applyBorder="1" applyAlignment="1" applyProtection="1">
      <alignment horizontal="center" vertical="center"/>
      <protection hidden="1"/>
    </xf>
    <xf numFmtId="171" fontId="26" fillId="14" borderId="7" xfId="99" applyNumberFormat="1" applyFont="1" applyFill="1" applyBorder="1" applyAlignment="1" applyProtection="1">
      <alignment horizontal="center" vertical="center"/>
      <protection hidden="1"/>
    </xf>
    <xf numFmtId="171" fontId="26" fillId="14" borderId="7" xfId="102" applyNumberFormat="1" applyFont="1" applyFill="1" applyBorder="1" applyAlignment="1" applyProtection="1">
      <alignment horizontal="center" vertical="center"/>
      <protection hidden="1"/>
    </xf>
    <xf numFmtId="171" fontId="26" fillId="14" borderId="7" xfId="76" applyNumberFormat="1" applyFont="1" applyFill="1" applyBorder="1" applyAlignment="1" applyProtection="1">
      <alignment horizontal="center" vertical="center"/>
      <protection hidden="1"/>
    </xf>
    <xf numFmtId="171" fontId="26" fillId="14" borderId="35" xfId="99" applyNumberFormat="1" applyFont="1" applyFill="1" applyBorder="1" applyAlignment="1" applyProtection="1">
      <alignment horizontal="center" vertical="center"/>
      <protection hidden="1"/>
    </xf>
    <xf numFmtId="3" fontId="26" fillId="14" borderId="19" xfId="101" applyNumberFormat="1" applyFont="1" applyFill="1" applyBorder="1" applyAlignment="1" applyProtection="1">
      <alignment horizontal="center" vertical="center"/>
      <protection hidden="1"/>
    </xf>
    <xf numFmtId="178" fontId="26" fillId="14" borderId="7" xfId="99" applyNumberFormat="1" applyFont="1" applyFill="1" applyBorder="1" applyAlignment="1" applyProtection="1">
      <alignment horizontal="right" vertical="center"/>
      <protection hidden="1"/>
    </xf>
    <xf numFmtId="178" fontId="26" fillId="14" borderId="37" xfId="99" applyNumberFormat="1" applyFont="1" applyFill="1" applyBorder="1" applyAlignment="1" applyProtection="1">
      <alignment horizontal="right" vertical="center"/>
      <protection hidden="1"/>
    </xf>
    <xf numFmtId="178" fontId="26" fillId="14" borderId="20" xfId="99" applyNumberFormat="1" applyFont="1" applyFill="1" applyBorder="1" applyAlignment="1" applyProtection="1">
      <alignment horizontal="right" vertical="center"/>
      <protection hidden="1"/>
    </xf>
    <xf numFmtId="178" fontId="26" fillId="14" borderId="18" xfId="99" applyNumberFormat="1" applyFont="1" applyFill="1" applyBorder="1" applyAlignment="1" applyProtection="1">
      <alignment horizontal="right" vertical="center"/>
      <protection hidden="1"/>
    </xf>
    <xf numFmtId="0" fontId="26" fillId="14" borderId="0" xfId="101" applyFont="1" applyFill="1" applyAlignment="1" applyProtection="1">
      <alignment vertical="center"/>
      <protection hidden="1"/>
    </xf>
    <xf numFmtId="178" fontId="26" fillId="14" borderId="0" xfId="104" applyNumberFormat="1" applyFont="1" applyFill="1" applyAlignment="1" applyProtection="1">
      <alignment vertical="center"/>
      <protection hidden="1"/>
    </xf>
    <xf numFmtId="0" fontId="0" fillId="0" borderId="7" xfId="0" applyBorder="1"/>
    <xf numFmtId="9" fontId="0" fillId="0" borderId="7" xfId="104" applyFont="1" applyBorder="1"/>
    <xf numFmtId="0" fontId="78" fillId="26" borderId="7" xfId="0" applyFont="1" applyFill="1" applyBorder="1" applyAlignment="1">
      <alignment horizontal="centerContinuous" vertical="center" wrapText="1"/>
    </xf>
    <xf numFmtId="0" fontId="59" fillId="16" borderId="7" xfId="124" applyFont="1" applyFill="1" applyBorder="1" applyAlignment="1">
      <alignment horizontal="justify" vertical="center" wrapText="1"/>
    </xf>
    <xf numFmtId="213" fontId="10" fillId="16" borderId="7" xfId="62" applyNumberFormat="1" applyFont="1" applyFill="1" applyBorder="1" applyAlignment="1" applyProtection="1">
      <alignment horizontal="center" vertical="center"/>
    </xf>
    <xf numFmtId="0" fontId="59" fillId="0" borderId="7" xfId="124" applyFont="1" applyBorder="1"/>
    <xf numFmtId="0" fontId="57" fillId="0" borderId="7" xfId="124" applyFont="1" applyBorder="1" applyAlignment="1">
      <alignment horizontal="center"/>
    </xf>
    <xf numFmtId="0" fontId="57" fillId="0" borderId="7" xfId="124" applyFont="1" applyBorder="1" applyAlignment="1">
      <alignment horizontal="center" vertical="center"/>
    </xf>
    <xf numFmtId="172" fontId="59" fillId="0" borderId="7" xfId="104" applyNumberFormat="1" applyFont="1" applyBorder="1" applyAlignment="1">
      <alignment horizontal="center"/>
    </xf>
    <xf numFmtId="172" fontId="59" fillId="0" borderId="7" xfId="104" applyNumberFormat="1" applyFont="1" applyBorder="1"/>
    <xf numFmtId="0" fontId="64" fillId="13" borderId="7" xfId="101" applyFont="1" applyFill="1" applyBorder="1" applyAlignment="1" applyProtection="1">
      <alignment vertical="center"/>
      <protection hidden="1"/>
    </xf>
    <xf numFmtId="211" fontId="64" fillId="13" borderId="7" xfId="54" applyNumberFormat="1" applyFont="1" applyFill="1" applyBorder="1" applyAlignment="1" applyProtection="1">
      <alignment vertical="center"/>
      <protection hidden="1"/>
    </xf>
    <xf numFmtId="0" fontId="63" fillId="16" borderId="0" xfId="101" applyFont="1" applyFill="1" applyAlignment="1" applyProtection="1">
      <alignment vertical="center"/>
      <protection hidden="1"/>
    </xf>
    <xf numFmtId="2" fontId="85" fillId="0" borderId="0" xfId="136" applyNumberFormat="1" applyFont="1" applyFill="1" applyBorder="1" applyAlignment="1">
      <alignment vertical="center"/>
    </xf>
    <xf numFmtId="2" fontId="9" fillId="29" borderId="0" xfId="96" applyNumberFormat="1" applyFill="1" applyProtection="1">
      <protection hidden="1"/>
    </xf>
    <xf numFmtId="176" fontId="9" fillId="29" borderId="0" xfId="96" applyNumberFormat="1" applyFill="1" applyProtection="1">
      <protection hidden="1"/>
    </xf>
    <xf numFmtId="0" fontId="63" fillId="21" borderId="30" xfId="95" applyFont="1" applyFill="1" applyBorder="1" applyAlignment="1" applyProtection="1">
      <alignment horizontal="center" vertical="center" wrapText="1"/>
      <protection hidden="1"/>
    </xf>
    <xf numFmtId="0" fontId="63" fillId="21" borderId="21" xfId="95" applyFont="1" applyFill="1" applyBorder="1" applyAlignment="1" applyProtection="1">
      <alignment horizontal="center" vertical="center" wrapText="1"/>
      <protection hidden="1"/>
    </xf>
    <xf numFmtId="3" fontId="63" fillId="32" borderId="21" xfId="76" applyNumberFormat="1" applyFont="1" applyFill="1" applyBorder="1" applyAlignment="1" applyProtection="1">
      <alignment horizontal="justify" vertical="center" wrapText="1"/>
      <protection hidden="1"/>
    </xf>
    <xf numFmtId="4" fontId="63" fillId="32" borderId="75" xfId="76" applyNumberFormat="1" applyFont="1" applyFill="1" applyBorder="1" applyAlignment="1" applyProtection="1">
      <alignment horizontal="center" vertical="center" wrapText="1"/>
      <protection hidden="1"/>
    </xf>
    <xf numFmtId="171" fontId="63" fillId="32" borderId="21" xfId="99" applyNumberFormat="1" applyFont="1" applyFill="1" applyBorder="1" applyAlignment="1" applyProtection="1">
      <alignment horizontal="center" vertical="center"/>
      <protection hidden="1"/>
    </xf>
    <xf numFmtId="178" fontId="63" fillId="32" borderId="21" xfId="99" applyNumberFormat="1" applyFont="1" applyFill="1" applyBorder="1" applyAlignment="1" applyProtection="1">
      <alignment horizontal="right" vertical="center" wrapText="1"/>
      <protection hidden="1"/>
    </xf>
    <xf numFmtId="178" fontId="63" fillId="32" borderId="5" xfId="99" applyNumberFormat="1" applyFont="1" applyFill="1" applyBorder="1" applyAlignment="1" applyProtection="1">
      <alignment horizontal="right" vertical="center" wrapText="1"/>
      <protection hidden="1"/>
    </xf>
    <xf numFmtId="178" fontId="26" fillId="32" borderId="56" xfId="99" applyNumberFormat="1" applyFont="1" applyFill="1" applyBorder="1" applyAlignment="1" applyProtection="1">
      <alignment horizontal="right" vertical="center"/>
      <protection hidden="1"/>
    </xf>
    <xf numFmtId="178" fontId="26" fillId="32" borderId="30" xfId="99" applyNumberFormat="1" applyFont="1" applyFill="1" applyBorder="1" applyAlignment="1" applyProtection="1">
      <alignment horizontal="right" vertical="center"/>
      <protection hidden="1"/>
    </xf>
    <xf numFmtId="178" fontId="26" fillId="32" borderId="75" xfId="99" applyNumberFormat="1" applyFont="1" applyFill="1" applyBorder="1" applyAlignment="1" applyProtection="1">
      <alignment horizontal="right" vertical="center"/>
      <protection hidden="1"/>
    </xf>
    <xf numFmtId="178" fontId="26" fillId="32" borderId="7" xfId="99" applyNumberFormat="1" applyFont="1" applyFill="1" applyBorder="1" applyAlignment="1" applyProtection="1">
      <alignment horizontal="right" vertical="center"/>
      <protection hidden="1"/>
    </xf>
    <xf numFmtId="171" fontId="63" fillId="32" borderId="75" xfId="76" applyNumberFormat="1" applyFont="1" applyFill="1" applyBorder="1" applyAlignment="1" applyProtection="1">
      <alignment horizontal="center" vertical="center" wrapText="1"/>
      <protection hidden="1"/>
    </xf>
    <xf numFmtId="171" fontId="63" fillId="32" borderId="7" xfId="99" applyNumberFormat="1" applyFont="1" applyFill="1" applyBorder="1" applyAlignment="1" applyProtection="1">
      <alignment horizontal="center" vertical="center"/>
      <protection hidden="1"/>
    </xf>
    <xf numFmtId="3" fontId="63" fillId="32" borderId="19" xfId="101" applyNumberFormat="1" applyFont="1" applyFill="1" applyBorder="1" applyAlignment="1" applyProtection="1">
      <alignment horizontal="center" vertical="center"/>
      <protection hidden="1"/>
    </xf>
    <xf numFmtId="178" fontId="63" fillId="32" borderId="37" xfId="99" applyNumberFormat="1" applyFont="1" applyFill="1" applyBorder="1" applyAlignment="1" applyProtection="1">
      <alignment horizontal="right" vertical="center"/>
      <protection hidden="1"/>
    </xf>
    <xf numFmtId="178" fontId="63" fillId="32" borderId="20" xfId="99" applyNumberFormat="1" applyFont="1" applyFill="1" applyBorder="1" applyAlignment="1" applyProtection="1">
      <alignment horizontal="right" vertical="center"/>
      <protection hidden="1"/>
    </xf>
    <xf numFmtId="178" fontId="26" fillId="32" borderId="35" xfId="99" applyNumberFormat="1" applyFont="1" applyFill="1" applyBorder="1" applyAlignment="1" applyProtection="1">
      <alignment horizontal="right" vertical="center"/>
      <protection hidden="1"/>
    </xf>
    <xf numFmtId="178" fontId="26" fillId="32" borderId="20" xfId="99" applyNumberFormat="1" applyFont="1" applyFill="1" applyBorder="1" applyAlignment="1" applyProtection="1">
      <alignment horizontal="right" vertical="center"/>
      <protection hidden="1"/>
    </xf>
    <xf numFmtId="178" fontId="26" fillId="32" borderId="37" xfId="99" applyNumberFormat="1" applyFont="1" applyFill="1" applyBorder="1" applyAlignment="1" applyProtection="1">
      <alignment horizontal="right" vertical="center"/>
      <protection hidden="1"/>
    </xf>
    <xf numFmtId="3" fontId="66" fillId="0" borderId="21" xfId="76" applyNumberFormat="1" applyFont="1" applyBorder="1" applyAlignment="1" applyProtection="1">
      <alignment horizontal="justify" vertical="center" wrapText="1"/>
      <protection hidden="1"/>
    </xf>
    <xf numFmtId="4" fontId="63" fillId="0" borderId="75" xfId="76" applyNumberFormat="1" applyFont="1" applyBorder="1" applyAlignment="1" applyProtection="1">
      <alignment horizontal="center" vertical="center" wrapText="1"/>
      <protection hidden="1"/>
    </xf>
    <xf numFmtId="171" fontId="63" fillId="0" borderId="21" xfId="99" applyNumberFormat="1" applyFont="1" applyBorder="1" applyAlignment="1" applyProtection="1">
      <alignment horizontal="center" vertical="center"/>
      <protection hidden="1"/>
    </xf>
    <xf numFmtId="178" fontId="63" fillId="0" borderId="21" xfId="99" applyNumberFormat="1" applyFont="1" applyBorder="1" applyAlignment="1" applyProtection="1">
      <alignment horizontal="right" vertical="center" wrapText="1"/>
      <protection hidden="1"/>
    </xf>
    <xf numFmtId="178" fontId="63" fillId="0" borderId="5" xfId="99" applyNumberFormat="1" applyFont="1" applyBorder="1" applyAlignment="1" applyProtection="1">
      <alignment horizontal="right" vertical="center" wrapText="1"/>
      <protection hidden="1"/>
    </xf>
    <xf numFmtId="178" fontId="26" fillId="0" borderId="56" xfId="99" applyNumberFormat="1" applyFont="1" applyBorder="1" applyAlignment="1" applyProtection="1">
      <alignment horizontal="right" vertical="center"/>
      <protection hidden="1"/>
    </xf>
    <xf numFmtId="178" fontId="26" fillId="0" borderId="30" xfId="99" applyNumberFormat="1" applyFont="1" applyBorder="1" applyAlignment="1" applyProtection="1">
      <alignment horizontal="right" vertical="center"/>
      <protection hidden="1"/>
    </xf>
    <xf numFmtId="178" fontId="26" fillId="0" borderId="75" xfId="99" applyNumberFormat="1" applyFont="1" applyBorder="1" applyAlignment="1" applyProtection="1">
      <alignment horizontal="right" vertical="center"/>
      <protection hidden="1"/>
    </xf>
    <xf numFmtId="0" fontId="63" fillId="0" borderId="7" xfId="95" applyFont="1" applyBorder="1" applyAlignment="1" applyProtection="1">
      <alignment horizontal="center" vertical="center"/>
      <protection hidden="1"/>
    </xf>
    <xf numFmtId="4" fontId="63" fillId="0" borderId="7" xfId="76" applyNumberFormat="1" applyFont="1" applyBorder="1" applyAlignment="1" applyProtection="1">
      <alignment horizontal="center" vertical="center" wrapText="1"/>
      <protection hidden="1"/>
    </xf>
    <xf numFmtId="0" fontId="63" fillId="32" borderId="7" xfId="95" applyFont="1" applyFill="1" applyBorder="1" applyAlignment="1" applyProtection="1">
      <alignment horizontal="center" vertical="center"/>
      <protection hidden="1"/>
    </xf>
    <xf numFmtId="4" fontId="63" fillId="32" borderId="7" xfId="76" applyNumberFormat="1" applyFont="1" applyFill="1" applyBorder="1" applyAlignment="1" applyProtection="1">
      <alignment horizontal="center" vertical="center" wrapText="1"/>
      <protection hidden="1"/>
    </xf>
    <xf numFmtId="171" fontId="63" fillId="32" borderId="19" xfId="101" applyNumberFormat="1" applyFont="1" applyFill="1" applyBorder="1" applyAlignment="1" applyProtection="1">
      <alignment horizontal="center" vertical="center"/>
      <protection hidden="1"/>
    </xf>
    <xf numFmtId="4" fontId="63" fillId="32" borderId="7" xfId="99" applyNumberFormat="1" applyFont="1" applyFill="1" applyBorder="1" applyAlignment="1" applyProtection="1">
      <alignment horizontal="center" vertical="center"/>
      <protection hidden="1"/>
    </xf>
    <xf numFmtId="0" fontId="9" fillId="0" borderId="7" xfId="96" applyBorder="1" applyAlignment="1" applyProtection="1">
      <alignment horizontal="center" vertical="center" wrapText="1"/>
      <protection hidden="1"/>
    </xf>
    <xf numFmtId="0" fontId="75" fillId="0" borderId="7" xfId="126" applyBorder="1" applyAlignment="1" applyProtection="1">
      <alignment vertical="center" wrapText="1"/>
      <protection hidden="1"/>
    </xf>
    <xf numFmtId="0" fontId="75" fillId="0" borderId="0" xfId="126" applyBorder="1" applyAlignment="1" applyProtection="1">
      <alignment vertical="center" wrapText="1"/>
      <protection hidden="1"/>
    </xf>
    <xf numFmtId="0" fontId="57" fillId="0" borderId="0" xfId="0" applyFont="1" applyAlignment="1" applyProtection="1">
      <alignment horizontal="right"/>
      <protection hidden="1"/>
    </xf>
    <xf numFmtId="0" fontId="57" fillId="0" borderId="0" xfId="0" applyFont="1" applyAlignment="1" applyProtection="1">
      <alignment horizontal="center"/>
      <protection hidden="1"/>
    </xf>
    <xf numFmtId="0" fontId="10" fillId="0" borderId="0" xfId="62" applyNumberFormat="1" applyFont="1" applyFill="1" applyAlignment="1" applyProtection="1">
      <alignment vertical="center"/>
      <protection hidden="1"/>
    </xf>
    <xf numFmtId="207" fontId="9" fillId="0" borderId="7" xfId="0" applyNumberFormat="1" applyFont="1" applyBorder="1" applyProtection="1">
      <protection hidden="1"/>
    </xf>
    <xf numFmtId="176" fontId="9" fillId="35" borderId="21" xfId="76" quotePrefix="1" applyNumberFormat="1" applyFill="1" applyBorder="1" applyAlignment="1" applyProtection="1">
      <alignment horizontal="right" vertical="center" wrapText="1"/>
      <protection hidden="1"/>
    </xf>
    <xf numFmtId="176" fontId="60" fillId="43" borderId="7" xfId="62" applyNumberFormat="1" applyFont="1" applyFill="1" applyBorder="1" applyAlignment="1" applyProtection="1">
      <alignment vertical="center"/>
      <protection hidden="1"/>
    </xf>
    <xf numFmtId="176" fontId="60" fillId="35" borderId="7" xfId="62" applyNumberFormat="1" applyFont="1" applyFill="1" applyBorder="1" applyAlignment="1" applyProtection="1">
      <alignment vertical="center"/>
      <protection hidden="1"/>
    </xf>
    <xf numFmtId="10" fontId="10" fillId="43" borderId="7" xfId="62" applyNumberFormat="1" applyFont="1" applyFill="1" applyBorder="1" applyAlignment="1" applyProtection="1">
      <alignment vertical="center"/>
      <protection hidden="1"/>
    </xf>
    <xf numFmtId="207" fontId="61" fillId="35" borderId="21" xfId="0" applyNumberFormat="1" applyFont="1" applyFill="1" applyBorder="1" applyAlignment="1" applyProtection="1">
      <alignment horizontal="right" vertical="center"/>
      <protection hidden="1"/>
    </xf>
    <xf numFmtId="0" fontId="86" fillId="10" borderId="7" xfId="0" applyFont="1" applyFill="1" applyBorder="1" applyAlignment="1">
      <alignment horizontal="center"/>
    </xf>
    <xf numFmtId="0" fontId="86" fillId="0" borderId="7" xfId="0" applyFont="1" applyBorder="1" applyAlignment="1">
      <alignment horizontal="center"/>
    </xf>
    <xf numFmtId="0" fontId="81" fillId="0" borderId="7" xfId="0" applyFont="1" applyBorder="1" applyAlignment="1">
      <alignment horizontal="left"/>
    </xf>
    <xf numFmtId="0" fontId="81" fillId="0" borderId="0" xfId="0" applyFont="1"/>
    <xf numFmtId="0" fontId="83" fillId="0" borderId="7" xfId="0" applyFont="1" applyBorder="1" applyAlignment="1">
      <alignment horizontal="center"/>
    </xf>
    <xf numFmtId="0" fontId="84" fillId="0" borderId="7" xfId="0" applyFont="1" applyBorder="1" applyAlignment="1">
      <alignment horizontal="center"/>
    </xf>
    <xf numFmtId="0" fontId="83" fillId="0" borderId="0" xfId="0" applyFont="1" applyAlignment="1">
      <alignment horizontal="center"/>
    </xf>
    <xf numFmtId="0" fontId="83" fillId="0" borderId="21" xfId="0" applyFont="1" applyBorder="1" applyAlignment="1">
      <alignment horizontal="center"/>
    </xf>
    <xf numFmtId="0" fontId="83" fillId="0" borderId="45" xfId="0" applyFont="1" applyBorder="1" applyAlignment="1">
      <alignment horizontal="center"/>
    </xf>
    <xf numFmtId="0" fontId="84" fillId="0" borderId="45" xfId="0" applyFont="1" applyBorder="1" applyAlignment="1">
      <alignment horizontal="center"/>
    </xf>
    <xf numFmtId="0" fontId="83" fillId="0" borderId="19" xfId="0" applyFont="1" applyBorder="1" applyAlignment="1">
      <alignment horizontal="center"/>
    </xf>
    <xf numFmtId="0" fontId="83" fillId="10" borderId="45" xfId="0" applyFont="1" applyFill="1" applyBorder="1" applyAlignment="1">
      <alignment horizontal="center"/>
    </xf>
    <xf numFmtId="0" fontId="84" fillId="0" borderId="45" xfId="0" applyFont="1" applyBorder="1" applyAlignment="1">
      <alignment horizontal="center" wrapText="1"/>
    </xf>
    <xf numFmtId="0" fontId="87" fillId="10" borderId="7" xfId="0" applyFont="1" applyFill="1" applyBorder="1"/>
    <xf numFmtId="0" fontId="88" fillId="10" borderId="7" xfId="0" applyFont="1" applyFill="1" applyBorder="1" applyAlignment="1">
      <alignment horizontal="center" vertical="center" wrapText="1"/>
    </xf>
    <xf numFmtId="0" fontId="89" fillId="0" borderId="0" xfId="0" applyFont="1"/>
    <xf numFmtId="0" fontId="90" fillId="10" borderId="7" xfId="0" applyFont="1" applyFill="1" applyBorder="1" applyAlignment="1">
      <alignment horizontal="left" vertical="center"/>
    </xf>
    <xf numFmtId="0" fontId="89" fillId="10" borderId="7" xfId="0" applyFont="1" applyFill="1" applyBorder="1"/>
    <xf numFmtId="0" fontId="89" fillId="10" borderId="7" xfId="0" applyFont="1" applyFill="1" applyBorder="1" applyAlignment="1">
      <alignment horizontal="center"/>
    </xf>
    <xf numFmtId="3" fontId="83" fillId="0" borderId="97" xfId="0" applyNumberFormat="1" applyFont="1" applyBorder="1" applyAlignment="1">
      <alignment vertical="center"/>
    </xf>
    <xf numFmtId="0" fontId="89" fillId="10" borderId="7" xfId="0" applyFont="1" applyFill="1" applyBorder="1" applyAlignment="1">
      <alignment horizontal="left"/>
    </xf>
    <xf numFmtId="3" fontId="83" fillId="0" borderId="7" xfId="0" applyNumberFormat="1" applyFont="1" applyBorder="1" applyAlignment="1">
      <alignment vertical="center"/>
    </xf>
    <xf numFmtId="0" fontId="89" fillId="10" borderId="0" xfId="0" applyFont="1" applyFill="1" applyAlignment="1">
      <alignment horizontal="left"/>
    </xf>
    <xf numFmtId="0" fontId="89" fillId="10" borderId="0" xfId="0" applyFont="1" applyFill="1"/>
    <xf numFmtId="0" fontId="89" fillId="10" borderId="0" xfId="0" applyFont="1" applyFill="1" applyAlignment="1">
      <alignment horizontal="center"/>
    </xf>
    <xf numFmtId="0" fontId="89" fillId="0" borderId="0" xfId="0" applyFont="1" applyAlignment="1">
      <alignment horizontal="left"/>
    </xf>
    <xf numFmtId="0" fontId="89" fillId="10" borderId="7" xfId="0" applyFont="1" applyFill="1" applyBorder="1" applyAlignment="1">
      <alignment vertical="top" wrapText="1"/>
    </xf>
    <xf numFmtId="3" fontId="83" fillId="44" borderId="97" xfId="0" applyNumberFormat="1" applyFont="1" applyFill="1" applyBorder="1" applyAlignment="1">
      <alignment vertical="center"/>
    </xf>
    <xf numFmtId="0" fontId="89" fillId="10" borderId="7" xfId="0" applyFont="1" applyFill="1" applyBorder="1" applyAlignment="1">
      <alignment vertical="top"/>
    </xf>
    <xf numFmtId="0" fontId="89" fillId="10" borderId="7" xfId="0" applyFont="1" applyFill="1" applyBorder="1" applyAlignment="1">
      <alignment horizontal="left" wrapText="1"/>
    </xf>
    <xf numFmtId="0" fontId="89" fillId="0" borderId="7" xfId="0" applyFont="1" applyBorder="1"/>
    <xf numFmtId="3" fontId="83" fillId="0" borderId="7" xfId="0" applyNumberFormat="1" applyFont="1" applyBorder="1" applyAlignment="1">
      <alignment horizontal="left" vertical="center"/>
    </xf>
    <xf numFmtId="0" fontId="89" fillId="0" borderId="7" xfId="0" applyFont="1" applyBorder="1" applyAlignment="1">
      <alignment vertical="top" wrapText="1"/>
    </xf>
    <xf numFmtId="0" fontId="89" fillId="0" borderId="7" xfId="0" applyFont="1" applyBorder="1" applyAlignment="1">
      <alignment horizontal="center"/>
    </xf>
    <xf numFmtId="0" fontId="89" fillId="10" borderId="37" xfId="0" applyFont="1" applyFill="1" applyBorder="1" applyAlignment="1">
      <alignment vertical="top" wrapText="1"/>
    </xf>
    <xf numFmtId="0" fontId="89" fillId="10" borderId="37" xfId="0" applyFont="1" applyFill="1" applyBorder="1"/>
    <xf numFmtId="3" fontId="83" fillId="10" borderId="7" xfId="0" applyNumberFormat="1" applyFont="1" applyFill="1" applyBorder="1" applyAlignment="1">
      <alignment horizontal="left" vertical="center"/>
    </xf>
    <xf numFmtId="3" fontId="83" fillId="10" borderId="7" xfId="0" applyNumberFormat="1" applyFont="1" applyFill="1" applyBorder="1" applyAlignment="1">
      <alignment vertical="center"/>
    </xf>
    <xf numFmtId="3" fontId="83" fillId="0" borderId="98" xfId="0" applyNumberFormat="1" applyFont="1" applyBorder="1" applyAlignment="1">
      <alignment horizontal="left" vertical="center"/>
    </xf>
    <xf numFmtId="0" fontId="89" fillId="0" borderId="7" xfId="0" applyFont="1" applyBorder="1" applyAlignment="1">
      <alignment horizontal="left"/>
    </xf>
    <xf numFmtId="3" fontId="83" fillId="44" borderId="98" xfId="0" applyNumberFormat="1" applyFont="1" applyFill="1" applyBorder="1" applyAlignment="1">
      <alignment horizontal="left" vertical="center"/>
    </xf>
    <xf numFmtId="0" fontId="89" fillId="10" borderId="7" xfId="0" applyFont="1" applyFill="1" applyBorder="1" applyAlignment="1">
      <alignment horizontal="center" wrapText="1"/>
    </xf>
    <xf numFmtId="0" fontId="89" fillId="0" borderId="0" xfId="0" applyFont="1" applyAlignment="1">
      <alignment horizontal="center"/>
    </xf>
    <xf numFmtId="0" fontId="92" fillId="0" borderId="0" xfId="0" applyFont="1" applyAlignment="1">
      <alignment horizontal="center" vertical="center"/>
    </xf>
    <xf numFmtId="0" fontId="91" fillId="0" borderId="0" xfId="0" applyFont="1" applyAlignment="1">
      <alignment vertical="center"/>
    </xf>
    <xf numFmtId="0" fontId="91" fillId="10" borderId="7" xfId="0" applyFont="1" applyFill="1" applyBorder="1" applyAlignment="1">
      <alignment horizontal="left" vertical="center"/>
    </xf>
    <xf numFmtId="0" fontId="91" fillId="10" borderId="7" xfId="0" applyFont="1" applyFill="1" applyBorder="1" applyAlignment="1">
      <alignment vertical="center" wrapText="1"/>
    </xf>
    <xf numFmtId="0" fontId="91" fillId="10" borderId="7" xfId="0" applyFont="1" applyFill="1" applyBorder="1" applyAlignment="1">
      <alignment horizontal="left" vertical="center" wrapText="1"/>
    </xf>
    <xf numFmtId="0" fontId="91" fillId="10" borderId="7" xfId="0" applyFont="1" applyFill="1" applyBorder="1" applyAlignment="1">
      <alignment vertical="center"/>
    </xf>
    <xf numFmtId="0" fontId="91" fillId="0" borderId="7" xfId="0" applyFont="1" applyBorder="1" applyAlignment="1">
      <alignment vertical="center"/>
    </xf>
    <xf numFmtId="0" fontId="91" fillId="10" borderId="7" xfId="0" applyFont="1" applyFill="1" applyBorder="1" applyAlignment="1">
      <alignment horizontal="center" vertical="center" wrapText="1"/>
    </xf>
    <xf numFmtId="0" fontId="9" fillId="14" borderId="0" xfId="0" applyFont="1" applyFill="1" applyAlignment="1" applyProtection="1">
      <alignment vertical="center"/>
      <protection hidden="1"/>
    </xf>
    <xf numFmtId="167" fontId="9" fillId="14" borderId="0" xfId="54" quotePrefix="1" applyFont="1" applyFill="1" applyAlignment="1" applyProtection="1">
      <alignment vertical="center"/>
      <protection hidden="1"/>
    </xf>
    <xf numFmtId="0" fontId="89" fillId="0" borderId="0" xfId="0" applyFont="1" applyAlignment="1">
      <alignment wrapText="1"/>
    </xf>
    <xf numFmtId="9" fontId="10" fillId="43" borderId="7" xfId="104" applyFont="1" applyFill="1" applyBorder="1" applyAlignment="1" applyProtection="1">
      <alignment vertical="center"/>
      <protection hidden="1"/>
    </xf>
    <xf numFmtId="9" fontId="10" fillId="35" borderId="7" xfId="104" applyFont="1" applyFill="1" applyBorder="1" applyAlignment="1" applyProtection="1">
      <alignment vertical="center"/>
      <protection hidden="1"/>
    </xf>
    <xf numFmtId="0" fontId="9" fillId="13" borderId="7" xfId="96" applyFill="1" applyBorder="1" applyAlignment="1" applyProtection="1">
      <alignment vertical="center"/>
      <protection locked="0"/>
    </xf>
    <xf numFmtId="0" fontId="9" fillId="0" borderId="0" xfId="97" applyAlignment="1" applyProtection="1">
      <alignment vertical="center" wrapText="1"/>
      <protection hidden="1"/>
    </xf>
    <xf numFmtId="0" fontId="10" fillId="0" borderId="0" xfId="97" applyFont="1" applyAlignment="1" applyProtection="1">
      <alignment horizontal="center" vertical="center" wrapText="1"/>
      <protection hidden="1"/>
    </xf>
    <xf numFmtId="1" fontId="9" fillId="0" borderId="0" xfId="97" applyNumberFormat="1" applyProtection="1">
      <protection hidden="1"/>
    </xf>
    <xf numFmtId="1" fontId="9" fillId="21" borderId="0" xfId="97" applyNumberFormat="1" applyFill="1" applyProtection="1">
      <protection hidden="1"/>
    </xf>
    <xf numFmtId="3" fontId="19" fillId="10" borderId="7" xfId="0" applyNumberFormat="1" applyFont="1" applyFill="1" applyBorder="1" applyAlignment="1" applyProtection="1">
      <alignment horizontal="center" vertical="center"/>
      <protection hidden="1"/>
    </xf>
    <xf numFmtId="1" fontId="35" fillId="10" borderId="7" xfId="0" applyNumberFormat="1" applyFont="1" applyFill="1" applyBorder="1" applyAlignment="1" applyProtection="1">
      <alignment horizontal="center" vertical="center"/>
      <protection hidden="1"/>
    </xf>
    <xf numFmtId="0" fontId="72" fillId="10" borderId="36" xfId="0" applyFont="1" applyFill="1" applyBorder="1" applyAlignment="1" applyProtection="1">
      <alignment vertical="center" wrapText="1"/>
      <protection hidden="1"/>
    </xf>
    <xf numFmtId="3" fontId="0" fillId="0" borderId="0" xfId="0" applyNumberFormat="1"/>
    <xf numFmtId="3" fontId="9" fillId="0" borderId="0" xfId="0" applyNumberFormat="1" applyFont="1" applyAlignment="1" applyProtection="1">
      <alignment vertical="center"/>
      <protection hidden="1"/>
    </xf>
    <xf numFmtId="3" fontId="9" fillId="0" borderId="0" xfId="0" applyNumberFormat="1" applyFont="1" applyProtection="1">
      <protection hidden="1"/>
    </xf>
    <xf numFmtId="0" fontId="55" fillId="28" borderId="35" xfId="0" applyFont="1" applyFill="1" applyBorder="1" applyAlignment="1" applyProtection="1">
      <alignment horizontal="right"/>
      <protection hidden="1"/>
    </xf>
    <xf numFmtId="0" fontId="55" fillId="28" borderId="36" xfId="0" applyFont="1" applyFill="1" applyBorder="1" applyAlignment="1" applyProtection="1">
      <alignment horizontal="right"/>
      <protection hidden="1"/>
    </xf>
    <xf numFmtId="178" fontId="35" fillId="0" borderId="0" xfId="54" applyNumberFormat="1" applyFont="1" applyFill="1" applyBorder="1" applyAlignment="1" applyProtection="1">
      <alignment horizontal="right" wrapText="1"/>
      <protection hidden="1"/>
    </xf>
    <xf numFmtId="0" fontId="10" fillId="0" borderId="0" xfId="76" applyFont="1" applyAlignment="1" applyProtection="1">
      <alignment horizontal="center" vertical="center" wrapText="1"/>
      <protection locked="0"/>
    </xf>
    <xf numFmtId="0" fontId="9" fillId="0" borderId="0" xfId="76" applyAlignment="1" applyProtection="1">
      <alignment horizontal="center" vertical="center" wrapText="1"/>
      <protection locked="0"/>
    </xf>
    <xf numFmtId="3" fontId="9" fillId="0" borderId="0" xfId="76" applyNumberFormat="1" applyAlignment="1" applyProtection="1">
      <alignment horizontal="center" vertical="center" wrapText="1"/>
      <protection locked="0"/>
    </xf>
    <xf numFmtId="0" fontId="47" fillId="0" borderId="7" xfId="92" applyFont="1" applyBorder="1" applyAlignment="1" applyProtection="1">
      <alignment horizontal="center" vertical="center" wrapText="1"/>
      <protection hidden="1"/>
    </xf>
    <xf numFmtId="174" fontId="9" fillId="0" borderId="18" xfId="91" applyNumberFormat="1" applyBorder="1" applyAlignment="1" applyProtection="1">
      <alignment horizontal="center" vertical="center"/>
      <protection locked="0"/>
    </xf>
    <xf numFmtId="174" fontId="9" fillId="0" borderId="7" xfId="91" applyNumberFormat="1" applyBorder="1" applyAlignment="1" applyProtection="1">
      <alignment horizontal="center" vertical="center"/>
      <protection locked="0"/>
    </xf>
    <xf numFmtId="0" fontId="10" fillId="26" borderId="94" xfId="91" applyFont="1" applyFill="1" applyBorder="1" applyAlignment="1" applyProtection="1">
      <alignment horizontal="right" vertical="center"/>
      <protection locked="0"/>
    </xf>
    <xf numFmtId="0" fontId="10" fillId="26" borderId="56" xfId="91" applyFont="1" applyFill="1" applyBorder="1" applyAlignment="1" applyProtection="1">
      <alignment horizontal="right" vertical="center"/>
      <protection locked="0"/>
    </xf>
    <xf numFmtId="0" fontId="10" fillId="26" borderId="75" xfId="91" applyFont="1" applyFill="1" applyBorder="1" applyAlignment="1" applyProtection="1">
      <alignment horizontal="right" vertical="center"/>
      <protection locked="0"/>
    </xf>
    <xf numFmtId="0" fontId="10" fillId="0" borderId="56" xfId="76" applyFont="1" applyBorder="1" applyAlignment="1" applyProtection="1">
      <alignment horizontal="center" vertical="center" wrapText="1"/>
      <protection locked="0"/>
    </xf>
    <xf numFmtId="0" fontId="10" fillId="30" borderId="10" xfId="91" applyFont="1" applyFill="1" applyBorder="1" applyAlignment="1" applyProtection="1">
      <alignment horizontal="center" vertical="center" wrapText="1"/>
      <protection locked="0"/>
    </xf>
    <xf numFmtId="0" fontId="10" fillId="30" borderId="53" xfId="91" applyFont="1" applyFill="1" applyBorder="1" applyAlignment="1" applyProtection="1">
      <alignment horizontal="center" vertical="center" wrapText="1"/>
      <protection locked="0"/>
    </xf>
    <xf numFmtId="0" fontId="10" fillId="28" borderId="31" xfId="91" applyFont="1" applyFill="1" applyBorder="1" applyAlignment="1" applyProtection="1">
      <alignment horizontal="center" vertical="center" wrapText="1"/>
      <protection locked="0"/>
    </xf>
    <xf numFmtId="0" fontId="10" fillId="28" borderId="32" xfId="91" applyFont="1" applyFill="1" applyBorder="1" applyAlignment="1" applyProtection="1">
      <alignment horizontal="center" vertical="center" wrapText="1"/>
      <protection locked="0"/>
    </xf>
    <xf numFmtId="0" fontId="10" fillId="28" borderId="85" xfId="91" applyFont="1" applyFill="1" applyBorder="1" applyAlignment="1" applyProtection="1">
      <alignment horizontal="center" vertical="center" wrapText="1"/>
      <protection locked="0"/>
    </xf>
    <xf numFmtId="0" fontId="20" fillId="28" borderId="18" xfId="91" applyFont="1" applyFill="1" applyBorder="1" applyAlignment="1" applyProtection="1">
      <alignment horizontal="center" vertical="center" wrapText="1"/>
      <protection locked="0"/>
    </xf>
    <xf numFmtId="172" fontId="20" fillId="28" borderId="21" xfId="91" applyNumberFormat="1" applyFont="1" applyFill="1" applyBorder="1" applyAlignment="1" applyProtection="1">
      <alignment horizontal="center" vertical="center" wrapText="1"/>
      <protection locked="0"/>
    </xf>
    <xf numFmtId="172" fontId="20" fillId="28" borderId="19" xfId="91" applyNumberFormat="1" applyFont="1" applyFill="1" applyBorder="1" applyAlignment="1" applyProtection="1">
      <alignment horizontal="center" vertical="center" wrapText="1"/>
      <protection locked="0"/>
    </xf>
    <xf numFmtId="0" fontId="20" fillId="28" borderId="7" xfId="91" applyFont="1" applyFill="1" applyBorder="1" applyAlignment="1" applyProtection="1">
      <alignment horizontal="center" vertical="center" wrapText="1"/>
      <protection locked="0"/>
    </xf>
    <xf numFmtId="0" fontId="10" fillId="28" borderId="35" xfId="91" applyFont="1" applyFill="1" applyBorder="1" applyAlignment="1" applyProtection="1">
      <alignment horizontal="center" vertical="center" wrapText="1"/>
      <protection locked="0"/>
    </xf>
    <xf numFmtId="0" fontId="10" fillId="28" borderId="36" xfId="91" applyFont="1" applyFill="1" applyBorder="1" applyAlignment="1" applyProtection="1">
      <alignment horizontal="center" vertical="center" wrapText="1"/>
      <protection locked="0"/>
    </xf>
    <xf numFmtId="0" fontId="10" fillId="28" borderId="51" xfId="91" applyFont="1" applyFill="1" applyBorder="1" applyAlignment="1" applyProtection="1">
      <alignment horizontal="center" vertical="center" wrapText="1"/>
      <protection locked="0"/>
    </xf>
    <xf numFmtId="0" fontId="9" fillId="26" borderId="18" xfId="91" applyFill="1" applyBorder="1" applyAlignment="1" applyProtection="1">
      <alignment horizontal="right" vertical="center"/>
      <protection locked="0"/>
    </xf>
    <xf numFmtId="0" fontId="9" fillId="26" borderId="7" xfId="91" applyFill="1" applyBorder="1" applyAlignment="1" applyProtection="1">
      <alignment horizontal="right" vertical="center"/>
      <protection locked="0"/>
    </xf>
    <xf numFmtId="0" fontId="10" fillId="41" borderId="18" xfId="91" applyFont="1" applyFill="1" applyBorder="1" applyAlignment="1" applyProtection="1">
      <alignment horizontal="right" vertical="center" wrapText="1"/>
      <protection locked="0"/>
    </xf>
    <xf numFmtId="0" fontId="10" fillId="41" borderId="7" xfId="91" applyFont="1" applyFill="1" applyBorder="1" applyAlignment="1" applyProtection="1">
      <alignment horizontal="right" vertical="center" wrapText="1"/>
      <protection locked="0"/>
    </xf>
    <xf numFmtId="0" fontId="9" fillId="41" borderId="18" xfId="91" applyFill="1" applyBorder="1" applyAlignment="1" applyProtection="1">
      <alignment horizontal="right" vertical="center"/>
      <protection locked="0"/>
    </xf>
    <xf numFmtId="0" fontId="9" fillId="41" borderId="7" xfId="91" applyFill="1" applyBorder="1" applyAlignment="1" applyProtection="1">
      <alignment horizontal="right" vertical="center"/>
      <protection locked="0"/>
    </xf>
    <xf numFmtId="0" fontId="9" fillId="41" borderId="38" xfId="91" applyFill="1" applyBorder="1" applyAlignment="1" applyProtection="1">
      <alignment horizontal="right" vertical="center" wrapText="1"/>
      <protection locked="0"/>
    </xf>
    <xf numFmtId="0" fontId="9" fillId="41" borderId="14" xfId="91" applyFill="1" applyBorder="1" applyAlignment="1" applyProtection="1">
      <alignment horizontal="right" vertical="center" wrapText="1"/>
      <protection locked="0"/>
    </xf>
    <xf numFmtId="0" fontId="10" fillId="0" borderId="10" xfId="91" applyFont="1" applyBorder="1" applyAlignment="1" applyProtection="1">
      <alignment horizontal="center" vertical="center" wrapText="1"/>
      <protection locked="0"/>
    </xf>
    <xf numFmtId="0" fontId="10" fillId="0" borderId="53" xfId="91" applyFont="1" applyBorder="1" applyAlignment="1" applyProtection="1">
      <alignment horizontal="center" vertical="center" wrapText="1"/>
      <protection locked="0"/>
    </xf>
    <xf numFmtId="0" fontId="10" fillId="28" borderId="41" xfId="91" applyFont="1" applyFill="1" applyBorder="1" applyAlignment="1" applyProtection="1">
      <alignment horizontal="center" vertical="center" wrapText="1"/>
      <protection locked="0"/>
    </xf>
    <xf numFmtId="0" fontId="10" fillId="28" borderId="42" xfId="91" applyFont="1" applyFill="1" applyBorder="1" applyAlignment="1" applyProtection="1">
      <alignment horizontal="center" vertical="center" wrapText="1"/>
      <protection locked="0"/>
    </xf>
    <xf numFmtId="0" fontId="10" fillId="28" borderId="43" xfId="91" applyFont="1" applyFill="1" applyBorder="1" applyAlignment="1" applyProtection="1">
      <alignment horizontal="center" vertical="center" wrapText="1"/>
      <protection locked="0"/>
    </xf>
    <xf numFmtId="0" fontId="10" fillId="28" borderId="34" xfId="91" applyFont="1" applyFill="1" applyBorder="1" applyAlignment="1" applyProtection="1">
      <alignment horizontal="center" vertical="center" wrapText="1"/>
      <protection locked="0"/>
    </xf>
    <xf numFmtId="0" fontId="10" fillId="28" borderId="18" xfId="91" applyFont="1" applyFill="1" applyBorder="1" applyAlignment="1" applyProtection="1">
      <alignment horizontal="center" vertical="center" wrapText="1"/>
      <protection locked="0"/>
    </xf>
    <xf numFmtId="0" fontId="10" fillId="28" borderId="7" xfId="91" applyFont="1" applyFill="1" applyBorder="1" applyAlignment="1" applyProtection="1">
      <alignment horizontal="center" vertical="center" wrapText="1"/>
      <protection locked="0"/>
    </xf>
    <xf numFmtId="0" fontId="10" fillId="28" borderId="20" xfId="91" applyFont="1" applyFill="1" applyBorder="1" applyAlignment="1" applyProtection="1">
      <alignment horizontal="center" vertical="center" wrapText="1"/>
      <protection locked="0"/>
    </xf>
    <xf numFmtId="0" fontId="9" fillId="0" borderId="7" xfId="133" applyBorder="1" applyAlignment="1" applyProtection="1">
      <alignment horizontal="center" vertical="center" wrapText="1"/>
      <protection locked="0"/>
    </xf>
    <xf numFmtId="0" fontId="10" fillId="28" borderId="7" xfId="133" applyFont="1" applyFill="1" applyBorder="1" applyAlignment="1" applyProtection="1">
      <alignment horizontal="left" vertical="center" wrapText="1"/>
      <protection locked="0"/>
    </xf>
    <xf numFmtId="0" fontId="10" fillId="0" borderId="7" xfId="133" applyFont="1" applyBorder="1" applyAlignment="1" applyProtection="1">
      <alignment horizontal="center" vertical="center" wrapText="1"/>
      <protection locked="0"/>
    </xf>
    <xf numFmtId="0" fontId="10" fillId="28" borderId="0" xfId="91" applyFont="1" applyFill="1" applyAlignment="1" applyProtection="1">
      <alignment horizontal="left" vertical="center"/>
      <protection locked="0"/>
    </xf>
    <xf numFmtId="0" fontId="9" fillId="0" borderId="10" xfId="91" applyBorder="1" applyAlignment="1" applyProtection="1">
      <alignment horizontal="center" vertical="center" wrapText="1"/>
      <protection locked="0"/>
    </xf>
    <xf numFmtId="0" fontId="9" fillId="0" borderId="11" xfId="91" applyBorder="1" applyAlignment="1" applyProtection="1">
      <alignment horizontal="center" vertical="center" wrapText="1"/>
      <protection locked="0"/>
    </xf>
    <xf numFmtId="0" fontId="9" fillId="0" borderId="53" xfId="91" applyBorder="1" applyAlignment="1" applyProtection="1">
      <alignment horizontal="center" vertical="center" wrapText="1"/>
      <protection locked="0"/>
    </xf>
    <xf numFmtId="0" fontId="9" fillId="0" borderId="41" xfId="91" applyBorder="1" applyAlignment="1" applyProtection="1">
      <alignment horizontal="center" vertical="center"/>
      <protection locked="0"/>
    </xf>
    <xf numFmtId="0" fontId="9" fillId="0" borderId="43" xfId="91" applyBorder="1" applyAlignment="1" applyProtection="1">
      <alignment horizontal="center" vertical="center"/>
      <protection locked="0"/>
    </xf>
    <xf numFmtId="0" fontId="9" fillId="0" borderId="18" xfId="91" applyBorder="1" applyAlignment="1" applyProtection="1">
      <alignment horizontal="center" vertical="center"/>
      <protection locked="0"/>
    </xf>
    <xf numFmtId="0" fontId="9" fillId="0" borderId="35" xfId="91" applyBorder="1" applyAlignment="1" applyProtection="1">
      <alignment horizontal="center" vertical="center"/>
      <protection locked="0"/>
    </xf>
    <xf numFmtId="0" fontId="9" fillId="0" borderId="30" xfId="91" applyBorder="1" applyAlignment="1" applyProtection="1">
      <alignment horizontal="center" vertical="center"/>
      <protection locked="0"/>
    </xf>
    <xf numFmtId="0" fontId="9" fillId="0" borderId="5" xfId="91" applyBorder="1" applyAlignment="1" applyProtection="1">
      <alignment horizontal="center" vertical="center"/>
      <protection locked="0"/>
    </xf>
    <xf numFmtId="0" fontId="9" fillId="0" borderId="7" xfId="91" applyBorder="1" applyAlignment="1" applyProtection="1">
      <alignment horizontal="center" vertical="center"/>
      <protection locked="0"/>
    </xf>
    <xf numFmtId="0" fontId="10" fillId="28" borderId="0" xfId="91" applyFont="1" applyFill="1" applyAlignment="1" applyProtection="1">
      <alignment horizontal="left" vertical="center" wrapText="1"/>
      <protection locked="0"/>
    </xf>
    <xf numFmtId="0" fontId="9" fillId="0" borderId="10" xfId="91" applyBorder="1" applyAlignment="1" applyProtection="1">
      <alignment horizontal="center" vertical="center"/>
      <protection locked="0"/>
    </xf>
    <xf numFmtId="0" fontId="9" fillId="0" borderId="11" xfId="91" applyBorder="1" applyAlignment="1" applyProtection="1">
      <alignment horizontal="center" vertical="center"/>
      <protection locked="0"/>
    </xf>
    <xf numFmtId="0" fontId="9" fillId="0" borderId="53" xfId="91" applyBorder="1" applyAlignment="1" applyProtection="1">
      <alignment horizontal="center" vertical="center"/>
      <protection locked="0"/>
    </xf>
    <xf numFmtId="0" fontId="10" fillId="28" borderId="84" xfId="91" applyFont="1" applyFill="1" applyBorder="1" applyAlignment="1" applyProtection="1">
      <alignment horizontal="center" vertical="center"/>
      <protection locked="0"/>
    </xf>
    <xf numFmtId="0" fontId="10" fillId="28" borderId="79" xfId="91" applyFont="1" applyFill="1" applyBorder="1" applyAlignment="1" applyProtection="1">
      <alignment horizontal="center" vertical="center"/>
      <protection locked="0"/>
    </xf>
    <xf numFmtId="0" fontId="10" fillId="28" borderId="3" xfId="91" applyFont="1" applyFill="1" applyBorder="1" applyAlignment="1" applyProtection="1">
      <alignment horizontal="center" vertical="center"/>
      <protection locked="0"/>
    </xf>
    <xf numFmtId="0" fontId="10" fillId="28" borderId="4" xfId="91" applyFont="1" applyFill="1" applyBorder="1" applyAlignment="1" applyProtection="1">
      <alignment horizontal="center" vertical="center"/>
      <protection locked="0"/>
    </xf>
    <xf numFmtId="0" fontId="10" fillId="28" borderId="7" xfId="91" applyFont="1" applyFill="1" applyBorder="1" applyAlignment="1" applyProtection="1">
      <alignment horizontal="center" vertical="center"/>
      <protection locked="0"/>
    </xf>
    <xf numFmtId="0" fontId="10" fillId="28" borderId="35" xfId="91" applyFont="1" applyFill="1" applyBorder="1" applyAlignment="1" applyProtection="1">
      <alignment horizontal="center" vertical="center"/>
      <protection locked="0"/>
    </xf>
    <xf numFmtId="0" fontId="10" fillId="28" borderId="20" xfId="91" applyFont="1" applyFill="1" applyBorder="1" applyAlignment="1" applyProtection="1">
      <alignment horizontal="center" vertical="center"/>
      <protection locked="0"/>
    </xf>
    <xf numFmtId="172" fontId="10" fillId="40" borderId="7" xfId="91" applyNumberFormat="1" applyFont="1" applyFill="1" applyBorder="1" applyAlignment="1" applyProtection="1">
      <alignment horizontal="center" vertical="center" wrapText="1"/>
      <protection hidden="1"/>
    </xf>
    <xf numFmtId="0" fontId="10" fillId="28" borderId="18" xfId="91" applyFont="1" applyFill="1" applyBorder="1" applyAlignment="1" applyProtection="1">
      <alignment horizontal="center" vertical="center"/>
      <protection locked="0"/>
    </xf>
    <xf numFmtId="0" fontId="35" fillId="0" borderId="35" xfId="0" applyFont="1" applyBorder="1" applyAlignment="1" applyProtection="1">
      <alignment horizontal="center" vertical="center" wrapText="1"/>
      <protection hidden="1"/>
    </xf>
    <xf numFmtId="0" fontId="35" fillId="0" borderId="37" xfId="0" applyFont="1" applyBorder="1" applyAlignment="1" applyProtection="1">
      <alignment horizontal="center" vertical="center" wrapText="1"/>
      <protection hidden="1"/>
    </xf>
    <xf numFmtId="0" fontId="70" fillId="0" borderId="35" xfId="0" applyFont="1" applyBorder="1" applyAlignment="1" applyProtection="1">
      <alignment horizontal="left" vertical="center" wrapText="1"/>
      <protection hidden="1"/>
    </xf>
    <xf numFmtId="0" fontId="70" fillId="0" borderId="36" xfId="0" applyFont="1" applyBorder="1" applyAlignment="1" applyProtection="1">
      <alignment horizontal="left" vertical="center" wrapText="1"/>
      <protection hidden="1"/>
    </xf>
    <xf numFmtId="0" fontId="70" fillId="0" borderId="37" xfId="0" applyFont="1" applyBorder="1" applyAlignment="1" applyProtection="1">
      <alignment horizontal="left" vertical="center" wrapText="1"/>
      <protection hidden="1"/>
    </xf>
    <xf numFmtId="0" fontId="70" fillId="0" borderId="7" xfId="0" applyFont="1" applyBorder="1" applyAlignment="1" applyProtection="1">
      <alignment horizontal="left" vertical="center" wrapText="1"/>
      <protection hidden="1"/>
    </xf>
    <xf numFmtId="0" fontId="35" fillId="0" borderId="7" xfId="0" applyFont="1" applyBorder="1" applyAlignment="1" applyProtection="1">
      <alignment horizontal="center" vertical="center" wrapText="1"/>
      <protection hidden="1"/>
    </xf>
    <xf numFmtId="0" fontId="12" fillId="0" borderId="41" xfId="0" applyFont="1" applyBorder="1" applyAlignment="1" applyProtection="1">
      <alignment horizontal="left" vertical="center"/>
      <protection hidden="1"/>
    </xf>
    <xf numFmtId="0" fontId="12" fillId="0" borderId="42" xfId="0" applyFont="1" applyBorder="1" applyAlignment="1" applyProtection="1">
      <alignment horizontal="left" vertical="center"/>
      <protection hidden="1"/>
    </xf>
    <xf numFmtId="0" fontId="12" fillId="0" borderId="34" xfId="0" applyFont="1" applyBorder="1" applyAlignment="1" applyProtection="1">
      <alignment horizontal="left" vertical="center"/>
      <protection hidden="1"/>
    </xf>
    <xf numFmtId="0" fontId="57" fillId="0" borderId="7" xfId="0" applyFont="1" applyBorder="1" applyAlignment="1" applyProtection="1">
      <alignment horizontal="center" vertical="center" wrapText="1"/>
      <protection hidden="1"/>
    </xf>
    <xf numFmtId="0" fontId="73" fillId="0" borderId="7" xfId="0" applyFont="1" applyBorder="1" applyAlignment="1" applyProtection="1">
      <alignment horizontal="left" vertical="center" wrapText="1"/>
      <protection hidden="1"/>
    </xf>
    <xf numFmtId="0" fontId="70" fillId="0" borderId="7" xfId="0" applyFont="1" applyBorder="1" applyAlignment="1" applyProtection="1">
      <alignment horizontal="left" vertical="top" wrapText="1"/>
      <protection hidden="1"/>
    </xf>
    <xf numFmtId="0" fontId="19" fillId="0" borderId="3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7" xfId="0" applyFont="1" applyBorder="1" applyAlignment="1" applyProtection="1">
      <alignment horizontal="left" vertical="center" wrapText="1"/>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53" xfId="0" applyFont="1" applyBorder="1" applyAlignment="1" applyProtection="1">
      <alignment horizontal="left" vertical="center"/>
      <protection hidden="1"/>
    </xf>
    <xf numFmtId="0" fontId="12" fillId="0" borderId="80" xfId="0" applyFont="1" applyBorder="1" applyAlignment="1" applyProtection="1">
      <alignment horizontal="right" vertical="center"/>
      <protection hidden="1"/>
    </xf>
    <xf numFmtId="0" fontId="12" fillId="0" borderId="81" xfId="0" applyFont="1" applyBorder="1" applyAlignment="1" applyProtection="1">
      <alignment horizontal="right" vertical="center"/>
      <protection hidden="1"/>
    </xf>
    <xf numFmtId="0" fontId="9" fillId="0" borderId="81" xfId="0" applyFont="1" applyBorder="1" applyAlignment="1" applyProtection="1">
      <alignment horizontal="right" vertical="center"/>
      <protection hidden="1"/>
    </xf>
    <xf numFmtId="0" fontId="9" fillId="0" borderId="39" xfId="0" applyFont="1" applyBorder="1" applyAlignment="1" applyProtection="1">
      <alignment horizontal="right" vertical="center"/>
      <protection hidden="1"/>
    </xf>
    <xf numFmtId="0" fontId="19" fillId="0" borderId="5" xfId="0" applyFont="1" applyBorder="1" applyAlignment="1" applyProtection="1">
      <alignment horizontal="center"/>
      <protection hidden="1"/>
    </xf>
    <xf numFmtId="0" fontId="19" fillId="0" borderId="75" xfId="0" applyFont="1" applyBorder="1" applyAlignment="1" applyProtection="1">
      <alignment horizontal="center"/>
      <protection hidden="1"/>
    </xf>
    <xf numFmtId="0" fontId="19" fillId="0" borderId="49" xfId="0" applyFont="1" applyBorder="1" applyAlignment="1" applyProtection="1">
      <alignment horizontal="center"/>
      <protection hidden="1"/>
    </xf>
    <xf numFmtId="0" fontId="19" fillId="0" borderId="25" xfId="0" applyFont="1" applyBorder="1" applyAlignment="1" applyProtection="1">
      <alignment horizontal="center"/>
      <protection hidden="1"/>
    </xf>
    <xf numFmtId="0" fontId="12" fillId="0" borderId="7" xfId="0" applyFont="1" applyBorder="1" applyAlignment="1" applyProtection="1">
      <alignment horizontal="left" vertical="center"/>
      <protection hidden="1"/>
    </xf>
    <xf numFmtId="0" fontId="70" fillId="10" borderId="7" xfId="0" applyFont="1" applyFill="1" applyBorder="1" applyAlignment="1" applyProtection="1">
      <alignment horizontal="left" vertical="center" wrapText="1"/>
      <protection hidden="1"/>
    </xf>
    <xf numFmtId="0" fontId="9" fillId="0" borderId="7" xfId="76" applyBorder="1" applyAlignment="1" applyProtection="1">
      <alignment horizontal="left" vertical="center" wrapText="1"/>
      <protection hidden="1"/>
    </xf>
    <xf numFmtId="0" fontId="55" fillId="28" borderId="7" xfId="0" applyFont="1" applyFill="1" applyBorder="1" applyAlignment="1" applyProtection="1">
      <alignment horizontal="right" wrapText="1"/>
      <protection hidden="1"/>
    </xf>
    <xf numFmtId="0" fontId="19" fillId="28" borderId="7" xfId="0" applyFont="1" applyFill="1" applyBorder="1" applyAlignment="1" applyProtection="1">
      <alignment horizontal="right"/>
      <protection hidden="1"/>
    </xf>
    <xf numFmtId="0" fontId="55" fillId="28" borderId="7" xfId="0" applyFont="1" applyFill="1" applyBorder="1" applyAlignment="1" applyProtection="1">
      <alignment horizontal="right"/>
      <protection hidden="1"/>
    </xf>
    <xf numFmtId="0" fontId="9" fillId="0" borderId="35" xfId="76" applyBorder="1" applyAlignment="1" applyProtection="1">
      <alignment horizontal="left" vertical="center" wrapText="1"/>
      <protection hidden="1"/>
    </xf>
    <xf numFmtId="0" fontId="9" fillId="0" borderId="37" xfId="76" applyBorder="1" applyAlignment="1" applyProtection="1">
      <alignment horizontal="left" vertical="center" wrapText="1"/>
      <protection hidden="1"/>
    </xf>
    <xf numFmtId="0" fontId="10" fillId="0" borderId="7" xfId="0" applyFont="1" applyBorder="1" applyAlignment="1" applyProtection="1">
      <alignment horizontal="center" vertical="center"/>
      <protection hidden="1"/>
    </xf>
    <xf numFmtId="0" fontId="20" fillId="28" borderId="35" xfId="0" applyFont="1" applyFill="1" applyBorder="1" applyAlignment="1" applyProtection="1">
      <alignment horizontal="right"/>
      <protection hidden="1"/>
    </xf>
    <xf numFmtId="0" fontId="20" fillId="28" borderId="36" xfId="0" applyFont="1" applyFill="1" applyBorder="1" applyAlignment="1" applyProtection="1">
      <alignment horizontal="right"/>
      <protection hidden="1"/>
    </xf>
    <xf numFmtId="0" fontId="20" fillId="28" borderId="37" xfId="0" applyFont="1" applyFill="1" applyBorder="1" applyAlignment="1" applyProtection="1">
      <alignment horizontal="right"/>
      <protection hidden="1"/>
    </xf>
    <xf numFmtId="0" fontId="69" fillId="0" borderId="7" xfId="0" applyFont="1" applyBorder="1" applyAlignment="1" applyProtection="1">
      <alignment horizontal="center"/>
      <protection hidden="1"/>
    </xf>
    <xf numFmtId="0" fontId="60" fillId="0" borderId="35" xfId="0" applyFont="1" applyBorder="1" applyAlignment="1" applyProtection="1">
      <alignment horizontal="center"/>
      <protection hidden="1"/>
    </xf>
    <xf numFmtId="0" fontId="60" fillId="0" borderId="37" xfId="0" applyFont="1" applyBorder="1" applyAlignment="1" applyProtection="1">
      <alignment horizontal="center"/>
      <protection hidden="1"/>
    </xf>
    <xf numFmtId="0" fontId="60" fillId="0" borderId="46" xfId="0" applyFont="1" applyBorder="1" applyAlignment="1" applyProtection="1">
      <alignment horizontal="center"/>
      <protection hidden="1"/>
    </xf>
    <xf numFmtId="0" fontId="60" fillId="0" borderId="0" xfId="0" applyFont="1" applyAlignment="1" applyProtection="1">
      <alignment horizontal="center"/>
      <protection hidden="1"/>
    </xf>
    <xf numFmtId="0" fontId="20" fillId="28" borderId="7" xfId="0" applyFont="1" applyFill="1" applyBorder="1" applyAlignment="1" applyProtection="1">
      <alignment horizontal="right"/>
      <protection hidden="1"/>
    </xf>
    <xf numFmtId="0" fontId="9" fillId="0" borderId="35" xfId="0" applyFont="1" applyBorder="1" applyAlignment="1" applyProtection="1">
      <alignment horizontal="center"/>
      <protection hidden="1"/>
    </xf>
    <xf numFmtId="0" fontId="9" fillId="0" borderId="36" xfId="0" applyFont="1" applyBorder="1" applyAlignment="1" applyProtection="1">
      <alignment horizontal="center"/>
      <protection hidden="1"/>
    </xf>
    <xf numFmtId="0" fontId="9" fillId="0" borderId="37" xfId="0" applyFont="1" applyBorder="1" applyAlignment="1" applyProtection="1">
      <alignment horizontal="center"/>
      <protection hidden="1"/>
    </xf>
    <xf numFmtId="0" fontId="10" fillId="43" borderId="7" xfId="0" applyFont="1" applyFill="1" applyBorder="1" applyAlignment="1" applyProtection="1">
      <alignment horizontal="center" vertical="center"/>
      <protection hidden="1"/>
    </xf>
    <xf numFmtId="0" fontId="10" fillId="35" borderId="7" xfId="0" applyFont="1" applyFill="1" applyBorder="1" applyAlignment="1" applyProtection="1">
      <alignment horizontal="center" vertical="center"/>
      <protection hidden="1"/>
    </xf>
    <xf numFmtId="0" fontId="10" fillId="0" borderId="7" xfId="0" applyFont="1" applyBorder="1" applyAlignment="1" applyProtection="1">
      <alignment horizontal="left" vertical="center" wrapText="1"/>
      <protection hidden="1"/>
    </xf>
    <xf numFmtId="0" fontId="69" fillId="0" borderId="0" xfId="0" applyFont="1" applyAlignment="1" applyProtection="1">
      <alignment horizontal="center"/>
      <protection hidden="1"/>
    </xf>
    <xf numFmtId="0" fontId="71" fillId="0" borderId="7" xfId="76" applyFont="1" applyBorder="1" applyAlignment="1" applyProtection="1">
      <alignment horizontal="left" vertical="center" wrapText="1"/>
      <protection hidden="1"/>
    </xf>
    <xf numFmtId="0" fontId="10" fillId="0" borderId="35" xfId="0" applyFont="1" applyBorder="1" applyAlignment="1" applyProtection="1">
      <alignment horizontal="left" vertical="center" wrapText="1"/>
      <protection hidden="1"/>
    </xf>
    <xf numFmtId="0" fontId="10" fillId="0" borderId="37" xfId="0" applyFont="1" applyBorder="1" applyAlignment="1" applyProtection="1">
      <alignment horizontal="left" vertical="center" wrapText="1"/>
      <protection hidden="1"/>
    </xf>
    <xf numFmtId="0" fontId="10" fillId="0" borderId="35" xfId="0" applyFont="1" applyBorder="1" applyAlignment="1" applyProtection="1">
      <alignment horizontal="left" vertical="top"/>
      <protection hidden="1"/>
    </xf>
    <xf numFmtId="0" fontId="10" fillId="0" borderId="36" xfId="0" applyFont="1" applyBorder="1" applyAlignment="1" applyProtection="1">
      <alignment horizontal="left" vertical="top"/>
      <protection hidden="1"/>
    </xf>
    <xf numFmtId="0" fontId="10" fillId="0" borderId="37" xfId="0" applyFont="1" applyBorder="1" applyAlignment="1" applyProtection="1">
      <alignment horizontal="left" vertical="top"/>
      <protection hidden="1"/>
    </xf>
    <xf numFmtId="0" fontId="64" fillId="10" borderId="0" xfId="101" applyFont="1" applyFill="1" applyAlignment="1" applyProtection="1">
      <alignment horizontal="center" vertical="center" wrapText="1"/>
      <protection hidden="1"/>
    </xf>
    <xf numFmtId="0" fontId="74" fillId="10" borderId="0" xfId="101" applyFont="1" applyFill="1" applyAlignment="1" applyProtection="1">
      <alignment horizontal="center" vertical="center" wrapText="1"/>
      <protection hidden="1"/>
    </xf>
    <xf numFmtId="0" fontId="63" fillId="10" borderId="0" xfId="101" applyFont="1" applyFill="1" applyAlignment="1" applyProtection="1">
      <alignment horizontal="center" vertical="center" wrapText="1"/>
      <protection hidden="1"/>
    </xf>
    <xf numFmtId="4" fontId="64" fillId="11" borderId="84" xfId="98" applyNumberFormat="1" applyFont="1" applyFill="1" applyBorder="1" applyAlignment="1" applyProtection="1">
      <alignment horizontal="center" vertical="center" wrapText="1"/>
      <protection hidden="1"/>
    </xf>
    <xf numFmtId="4" fontId="64" fillId="11" borderId="44" xfId="98" applyNumberFormat="1" applyFont="1" applyFill="1" applyBorder="1" applyAlignment="1" applyProtection="1">
      <alignment horizontal="center" vertical="center" wrapText="1"/>
      <protection hidden="1"/>
    </xf>
    <xf numFmtId="4" fontId="64" fillId="11" borderId="16" xfId="98" applyNumberFormat="1" applyFont="1" applyFill="1" applyBorder="1" applyAlignment="1" applyProtection="1">
      <alignment horizontal="center" vertical="center" wrapText="1"/>
      <protection hidden="1"/>
    </xf>
    <xf numFmtId="0" fontId="57" fillId="16" borderId="7" xfId="101" applyFont="1" applyFill="1" applyBorder="1" applyAlignment="1" applyProtection="1">
      <alignment horizontal="center" vertical="center" wrapText="1"/>
      <protection hidden="1"/>
    </xf>
    <xf numFmtId="4" fontId="64" fillId="11" borderId="79" xfId="98" applyNumberFormat="1" applyFont="1" applyFill="1" applyBorder="1" applyAlignment="1" applyProtection="1">
      <alignment horizontal="center" vertical="center" wrapText="1"/>
      <protection hidden="1"/>
    </xf>
    <xf numFmtId="4" fontId="64" fillId="11" borderId="45" xfId="98" applyNumberFormat="1" applyFont="1" applyFill="1" applyBorder="1" applyAlignment="1" applyProtection="1">
      <alignment horizontal="center" vertical="center" wrapText="1"/>
      <protection hidden="1"/>
    </xf>
    <xf numFmtId="4" fontId="64" fillId="11" borderId="13" xfId="98" applyNumberFormat="1" applyFont="1" applyFill="1" applyBorder="1" applyAlignment="1" applyProtection="1">
      <alignment horizontal="center" vertical="center" wrapText="1"/>
      <protection hidden="1"/>
    </xf>
    <xf numFmtId="178" fontId="57" fillId="15" borderId="30" xfId="99" applyNumberFormat="1" applyFont="1" applyFill="1" applyBorder="1" applyAlignment="1" applyProtection="1">
      <alignment horizontal="center" vertical="center" wrapText="1"/>
      <protection hidden="1"/>
    </xf>
    <xf numFmtId="178" fontId="57" fillId="15" borderId="44" xfId="99" applyNumberFormat="1" applyFont="1" applyFill="1" applyBorder="1" applyAlignment="1" applyProtection="1">
      <alignment horizontal="center" vertical="center" wrapText="1"/>
      <protection hidden="1"/>
    </xf>
    <xf numFmtId="178" fontId="57" fillId="15" borderId="16" xfId="99" applyNumberFormat="1" applyFont="1" applyFill="1" applyBorder="1" applyAlignment="1" applyProtection="1">
      <alignment horizontal="center" vertical="center" wrapText="1"/>
      <protection hidden="1"/>
    </xf>
    <xf numFmtId="171" fontId="64" fillId="11" borderId="42" xfId="98" applyNumberFormat="1" applyFont="1" applyFill="1" applyBorder="1" applyAlignment="1" applyProtection="1">
      <alignment horizontal="center" vertical="center" wrapText="1"/>
      <protection hidden="1"/>
    </xf>
    <xf numFmtId="171" fontId="64" fillId="11" borderId="43" xfId="98" applyNumberFormat="1" applyFont="1" applyFill="1" applyBorder="1" applyAlignment="1" applyProtection="1">
      <alignment horizontal="center" vertical="center" wrapText="1"/>
      <protection hidden="1"/>
    </xf>
    <xf numFmtId="171" fontId="64" fillId="13" borderId="33" xfId="98" applyNumberFormat="1" applyFont="1" applyFill="1" applyBorder="1" applyAlignment="1" applyProtection="1">
      <alignment horizontal="center" vertical="center" wrapText="1"/>
      <protection hidden="1"/>
    </xf>
    <xf numFmtId="171" fontId="64" fillId="13" borderId="43" xfId="98" applyNumberFormat="1" applyFont="1" applyFill="1" applyBorder="1" applyAlignment="1" applyProtection="1">
      <alignment horizontal="center" vertical="center" wrapText="1"/>
      <protection hidden="1"/>
    </xf>
    <xf numFmtId="171" fontId="64" fillId="12" borderId="41" xfId="98" applyNumberFormat="1" applyFont="1" applyFill="1" applyBorder="1" applyAlignment="1" applyProtection="1">
      <alignment horizontal="center" vertical="center" wrapText="1"/>
      <protection hidden="1"/>
    </xf>
    <xf numFmtId="171" fontId="64" fillId="12" borderId="42" xfId="98" applyNumberFormat="1" applyFont="1" applyFill="1" applyBorder="1" applyAlignment="1" applyProtection="1">
      <alignment horizontal="center" vertical="center" wrapText="1"/>
      <protection hidden="1"/>
    </xf>
    <xf numFmtId="171" fontId="64" fillId="14" borderId="42" xfId="98" applyNumberFormat="1" applyFont="1" applyFill="1" applyBorder="1" applyAlignment="1" applyProtection="1">
      <alignment horizontal="center" vertical="center" wrapText="1"/>
      <protection hidden="1"/>
    </xf>
    <xf numFmtId="171" fontId="64" fillId="14" borderId="43" xfId="98" applyNumberFormat="1" applyFont="1" applyFill="1" applyBorder="1" applyAlignment="1" applyProtection="1">
      <alignment horizontal="center" vertical="center" wrapText="1"/>
      <protection hidden="1"/>
    </xf>
    <xf numFmtId="171" fontId="64" fillId="11" borderId="33" xfId="98" applyNumberFormat="1" applyFont="1" applyFill="1" applyBorder="1" applyAlignment="1" applyProtection="1">
      <alignment horizontal="center" vertical="center" wrapText="1"/>
      <protection hidden="1"/>
    </xf>
    <xf numFmtId="0" fontId="64" fillId="11" borderId="41" xfId="101" applyFont="1" applyFill="1" applyBorder="1" applyAlignment="1" applyProtection="1">
      <alignment horizontal="center" vertical="center"/>
      <protection hidden="1"/>
    </xf>
    <xf numFmtId="0" fontId="64" fillId="11" borderId="42" xfId="101" applyFont="1" applyFill="1" applyBorder="1" applyAlignment="1" applyProtection="1">
      <alignment horizontal="center" vertical="center"/>
      <protection hidden="1"/>
    </xf>
    <xf numFmtId="0" fontId="64" fillId="11" borderId="34" xfId="101" applyFont="1" applyFill="1" applyBorder="1" applyAlignment="1" applyProtection="1">
      <alignment horizontal="center" vertical="center"/>
      <protection hidden="1"/>
    </xf>
    <xf numFmtId="0" fontId="63" fillId="10" borderId="77" xfId="101" applyFont="1" applyFill="1" applyBorder="1" applyAlignment="1" applyProtection="1">
      <alignment horizontal="center" vertical="center"/>
      <protection hidden="1"/>
    </xf>
    <xf numFmtId="0" fontId="63" fillId="10" borderId="12" xfId="101" applyFont="1" applyFill="1" applyBorder="1" applyAlignment="1" applyProtection="1">
      <alignment horizontal="center" vertical="center"/>
      <protection hidden="1"/>
    </xf>
    <xf numFmtId="0" fontId="63" fillId="10" borderId="83" xfId="101" applyFont="1" applyFill="1" applyBorder="1" applyAlignment="1" applyProtection="1">
      <alignment horizontal="center" vertical="center"/>
      <protection hidden="1"/>
    </xf>
    <xf numFmtId="0" fontId="64" fillId="11" borderId="74" xfId="101" applyFont="1" applyFill="1" applyBorder="1" applyAlignment="1" applyProtection="1">
      <alignment horizontal="center" vertical="center" wrapText="1"/>
      <protection hidden="1"/>
    </xf>
    <xf numFmtId="0" fontId="64" fillId="11" borderId="48" xfId="101" applyFont="1" applyFill="1" applyBorder="1" applyAlignment="1" applyProtection="1">
      <alignment horizontal="center" vertical="center" wrapText="1"/>
      <protection hidden="1"/>
    </xf>
    <xf numFmtId="0" fontId="64" fillId="11" borderId="83" xfId="101" applyFont="1" applyFill="1" applyBorder="1" applyAlignment="1" applyProtection="1">
      <alignment horizontal="center" vertical="center" wrapText="1"/>
      <protection hidden="1"/>
    </xf>
    <xf numFmtId="171" fontId="64" fillId="11" borderId="42" xfId="101" applyNumberFormat="1" applyFont="1" applyFill="1" applyBorder="1" applyAlignment="1" applyProtection="1">
      <alignment horizontal="center" vertical="center" wrapText="1"/>
      <protection hidden="1"/>
    </xf>
    <xf numFmtId="171" fontId="64" fillId="11" borderId="7" xfId="101" applyNumberFormat="1" applyFont="1" applyFill="1" applyBorder="1" applyAlignment="1" applyProtection="1">
      <alignment horizontal="center" vertical="center" wrapText="1"/>
      <protection hidden="1"/>
    </xf>
    <xf numFmtId="171" fontId="64" fillId="11" borderId="14" xfId="101" applyNumberFormat="1" applyFont="1" applyFill="1" applyBorder="1" applyAlignment="1" applyProtection="1">
      <alignment horizontal="center" vertical="center" wrapText="1"/>
      <protection hidden="1"/>
    </xf>
    <xf numFmtId="0" fontId="64" fillId="16" borderId="37" xfId="101" applyFont="1" applyFill="1" applyBorder="1" applyAlignment="1" applyProtection="1">
      <alignment horizontal="center" vertical="center"/>
      <protection hidden="1"/>
    </xf>
    <xf numFmtId="0" fontId="64" fillId="16" borderId="35" xfId="101" applyFont="1" applyFill="1" applyBorder="1" applyAlignment="1" applyProtection="1">
      <alignment horizontal="center" vertical="center"/>
      <protection hidden="1"/>
    </xf>
    <xf numFmtId="0" fontId="57" fillId="13" borderId="22" xfId="101" applyFont="1" applyFill="1" applyBorder="1" applyAlignment="1" applyProtection="1">
      <alignment horizontal="center" vertical="center" wrapText="1"/>
      <protection hidden="1"/>
    </xf>
    <xf numFmtId="0" fontId="57" fillId="13" borderId="47" xfId="101" applyFont="1" applyFill="1" applyBorder="1" applyAlignment="1" applyProtection="1">
      <alignment horizontal="center" vertical="center" wrapText="1"/>
      <protection hidden="1"/>
    </xf>
    <xf numFmtId="0" fontId="57" fillId="13" borderId="17" xfId="101" applyFont="1" applyFill="1" applyBorder="1" applyAlignment="1" applyProtection="1">
      <alignment horizontal="center" vertical="center" wrapText="1"/>
      <protection hidden="1"/>
    </xf>
    <xf numFmtId="0" fontId="64" fillId="11" borderId="43" xfId="99" applyFont="1" applyFill="1" applyBorder="1" applyAlignment="1" applyProtection="1">
      <alignment horizontal="center" vertical="center" wrapText="1"/>
      <protection hidden="1"/>
    </xf>
    <xf numFmtId="0" fontId="64" fillId="11" borderId="35" xfId="99" applyFont="1" applyFill="1" applyBorder="1" applyAlignment="1" applyProtection="1">
      <alignment horizontal="center" vertical="center" wrapText="1"/>
      <protection hidden="1"/>
    </xf>
    <xf numFmtId="0" fontId="64" fillId="11" borderId="40" xfId="99" applyFont="1" applyFill="1" applyBorder="1" applyAlignment="1" applyProtection="1">
      <alignment horizontal="center" vertical="center" wrapText="1"/>
      <protection hidden="1"/>
    </xf>
    <xf numFmtId="178" fontId="57" fillId="16" borderId="30" xfId="99" applyNumberFormat="1" applyFont="1" applyFill="1" applyBorder="1" applyAlignment="1" applyProtection="1">
      <alignment horizontal="center" vertical="center" wrapText="1"/>
      <protection hidden="1"/>
    </xf>
    <xf numFmtId="178" fontId="57" fillId="16" borderId="44" xfId="99" applyNumberFormat="1" applyFont="1" applyFill="1" applyBorder="1" applyAlignment="1" applyProtection="1">
      <alignment horizontal="center" vertical="center" wrapText="1"/>
      <protection hidden="1"/>
    </xf>
    <xf numFmtId="178" fontId="57" fillId="16" borderId="16" xfId="99" applyNumberFormat="1" applyFont="1" applyFill="1" applyBorder="1" applyAlignment="1" applyProtection="1">
      <alignment horizontal="center" vertical="center" wrapText="1"/>
      <protection hidden="1"/>
    </xf>
    <xf numFmtId="205" fontId="57" fillId="11" borderId="7" xfId="99" applyNumberFormat="1" applyFont="1" applyFill="1" applyBorder="1" applyAlignment="1" applyProtection="1">
      <alignment horizontal="center" vertical="center" wrapText="1"/>
      <protection hidden="1"/>
    </xf>
    <xf numFmtId="0" fontId="64" fillId="11" borderId="34" xfId="99" applyFont="1" applyFill="1" applyBorder="1" applyAlignment="1" applyProtection="1">
      <alignment horizontal="center" vertical="center" wrapText="1"/>
      <protection hidden="1"/>
    </xf>
    <xf numFmtId="0" fontId="64" fillId="11" borderId="20" xfId="99" applyFont="1" applyFill="1" applyBorder="1" applyAlignment="1" applyProtection="1">
      <alignment horizontal="center" vertical="center" wrapText="1"/>
      <protection hidden="1"/>
    </xf>
    <xf numFmtId="0" fontId="64" fillId="11" borderId="15" xfId="99" applyFont="1" applyFill="1" applyBorder="1" applyAlignment="1" applyProtection="1">
      <alignment horizontal="center" vertical="center" wrapText="1"/>
      <protection hidden="1"/>
    </xf>
    <xf numFmtId="0" fontId="64" fillId="11" borderId="42" xfId="99" applyFont="1" applyFill="1" applyBorder="1" applyAlignment="1" applyProtection="1">
      <alignment horizontal="center" vertical="center" wrapText="1"/>
      <protection hidden="1"/>
    </xf>
    <xf numFmtId="0" fontId="64" fillId="11" borderId="7" xfId="99" applyFont="1" applyFill="1" applyBorder="1" applyAlignment="1" applyProtection="1">
      <alignment horizontal="center" vertical="center" wrapText="1"/>
      <protection hidden="1"/>
    </xf>
    <xf numFmtId="0" fontId="64" fillId="11" borderId="14" xfId="99" applyFont="1" applyFill="1" applyBorder="1" applyAlignment="1" applyProtection="1">
      <alignment horizontal="center" vertical="center" wrapText="1"/>
      <protection hidden="1"/>
    </xf>
    <xf numFmtId="178" fontId="57" fillId="13" borderId="30" xfId="99" applyNumberFormat="1" applyFont="1" applyFill="1" applyBorder="1" applyAlignment="1" applyProtection="1">
      <alignment horizontal="center" vertical="center" wrapText="1"/>
      <protection hidden="1"/>
    </xf>
    <xf numFmtId="178" fontId="57" fillId="13" borderId="44" xfId="99" applyNumberFormat="1" applyFont="1" applyFill="1" applyBorder="1" applyAlignment="1" applyProtection="1">
      <alignment horizontal="center" vertical="center" wrapText="1"/>
      <protection hidden="1"/>
    </xf>
    <xf numFmtId="178" fontId="57" fillId="13" borderId="16" xfId="99" applyNumberFormat="1" applyFont="1" applyFill="1" applyBorder="1" applyAlignment="1" applyProtection="1">
      <alignment horizontal="center" vertical="center" wrapText="1"/>
      <protection hidden="1"/>
    </xf>
    <xf numFmtId="0" fontId="64" fillId="15" borderId="18" xfId="101" applyFont="1" applyFill="1" applyBorder="1" applyAlignment="1" applyProtection="1">
      <alignment horizontal="center" vertical="center"/>
      <protection hidden="1"/>
    </xf>
    <xf numFmtId="0" fontId="64" fillId="15" borderId="35" xfId="101" applyFont="1" applyFill="1" applyBorder="1" applyAlignment="1" applyProtection="1">
      <alignment horizontal="center" vertical="center"/>
      <protection hidden="1"/>
    </xf>
    <xf numFmtId="0" fontId="64" fillId="11" borderId="18" xfId="101" applyFont="1" applyFill="1" applyBorder="1" applyAlignment="1" applyProtection="1">
      <alignment horizontal="center" vertical="center"/>
      <protection hidden="1"/>
    </xf>
    <xf numFmtId="0" fontId="64" fillId="11" borderId="20" xfId="101" applyFont="1" applyFill="1" applyBorder="1" applyAlignment="1" applyProtection="1">
      <alignment horizontal="center" vertical="center"/>
      <protection hidden="1"/>
    </xf>
    <xf numFmtId="0" fontId="64" fillId="13" borderId="18" xfId="101" applyFont="1" applyFill="1" applyBorder="1" applyAlignment="1" applyProtection="1">
      <alignment horizontal="center" vertical="center"/>
      <protection hidden="1"/>
    </xf>
    <xf numFmtId="0" fontId="64" fillId="13" borderId="20" xfId="101" applyFont="1" applyFill="1" applyBorder="1" applyAlignment="1" applyProtection="1">
      <alignment horizontal="center" vertical="center"/>
      <protection hidden="1"/>
    </xf>
    <xf numFmtId="0" fontId="57" fillId="15" borderId="22" xfId="101" applyFont="1" applyFill="1" applyBorder="1" applyAlignment="1" applyProtection="1">
      <alignment horizontal="center" vertical="center" wrapText="1"/>
      <protection hidden="1"/>
    </xf>
    <xf numFmtId="0" fontId="57" fillId="15" borderId="47" xfId="101" applyFont="1" applyFill="1" applyBorder="1" applyAlignment="1" applyProtection="1">
      <alignment horizontal="center" vertical="center" wrapText="1"/>
      <protection hidden="1"/>
    </xf>
    <xf numFmtId="0" fontId="57" fillId="15" borderId="17" xfId="101" applyFont="1" applyFill="1" applyBorder="1" applyAlignment="1" applyProtection="1">
      <alignment horizontal="center" vertical="center" wrapText="1"/>
      <protection hidden="1"/>
    </xf>
    <xf numFmtId="0" fontId="57" fillId="0" borderId="22" xfId="101" applyFont="1" applyBorder="1" applyAlignment="1" applyProtection="1">
      <alignment horizontal="center" vertical="center" wrapText="1"/>
      <protection hidden="1"/>
    </xf>
    <xf numFmtId="0" fontId="57" fillId="0" borderId="47" xfId="101" applyFont="1" applyBorder="1" applyAlignment="1" applyProtection="1">
      <alignment horizontal="center" vertical="center" wrapText="1"/>
      <protection hidden="1"/>
    </xf>
    <xf numFmtId="0" fontId="57" fillId="0" borderId="17" xfId="101" applyFont="1" applyBorder="1" applyAlignment="1" applyProtection="1">
      <alignment horizontal="center" vertical="center" wrapText="1"/>
      <protection hidden="1"/>
    </xf>
    <xf numFmtId="178" fontId="63" fillId="0" borderId="7" xfId="101" applyNumberFormat="1" applyFont="1" applyBorder="1" applyAlignment="1" applyProtection="1">
      <alignment horizontal="center" vertical="center" wrapText="1"/>
      <protection hidden="1"/>
    </xf>
    <xf numFmtId="0" fontId="0" fillId="0" borderId="7" xfId="0" applyBorder="1" applyAlignment="1" applyProtection="1">
      <alignment vertical="center" wrapText="1"/>
      <protection hidden="1"/>
    </xf>
    <xf numFmtId="4" fontId="64" fillId="11" borderId="3" xfId="98" applyNumberFormat="1" applyFont="1" applyFill="1" applyBorder="1" applyAlignment="1" applyProtection="1">
      <alignment horizontal="center" vertical="center" wrapText="1"/>
      <protection hidden="1"/>
    </xf>
    <xf numFmtId="4" fontId="64" fillId="11" borderId="46" xfId="98" applyNumberFormat="1" applyFont="1" applyFill="1" applyBorder="1" applyAlignment="1" applyProtection="1">
      <alignment horizontal="center" vertical="center" wrapText="1"/>
      <protection hidden="1"/>
    </xf>
    <xf numFmtId="4" fontId="64" fillId="11" borderId="82" xfId="98" applyNumberFormat="1" applyFont="1" applyFill="1" applyBorder="1" applyAlignment="1" applyProtection="1">
      <alignment horizontal="center" vertical="center" wrapText="1"/>
      <protection hidden="1"/>
    </xf>
    <xf numFmtId="178" fontId="63" fillId="0" borderId="36" xfId="101" applyNumberFormat="1" applyFont="1" applyBorder="1" applyAlignment="1" applyProtection="1">
      <alignment horizontal="center" vertical="center" wrapText="1"/>
      <protection hidden="1"/>
    </xf>
    <xf numFmtId="0" fontId="0" fillId="0" borderId="36" xfId="0" applyBorder="1" applyAlignment="1" applyProtection="1">
      <alignment vertical="center" wrapText="1"/>
      <protection hidden="1"/>
    </xf>
    <xf numFmtId="0" fontId="0" fillId="0" borderId="37" xfId="0" applyBorder="1" applyAlignment="1" applyProtection="1">
      <alignment vertical="center" wrapText="1"/>
      <protection hidden="1"/>
    </xf>
    <xf numFmtId="0" fontId="64" fillId="0" borderId="38" xfId="99" applyFont="1" applyBorder="1" applyAlignment="1" applyProtection="1">
      <alignment horizontal="center" vertical="center" wrapText="1"/>
      <protection hidden="1"/>
    </xf>
    <xf numFmtId="0" fontId="64" fillId="0" borderId="14" xfId="99" applyFont="1" applyBorder="1" applyAlignment="1" applyProtection="1">
      <alignment horizontal="center" vertical="center" wrapText="1"/>
      <protection hidden="1"/>
    </xf>
    <xf numFmtId="0" fontId="64" fillId="0" borderId="15" xfId="99" applyFont="1" applyBorder="1" applyAlignment="1" applyProtection="1">
      <alignment horizontal="center" vertical="center" wrapText="1"/>
      <protection hidden="1"/>
    </xf>
    <xf numFmtId="3" fontId="10" fillId="4" borderId="80" xfId="97" applyNumberFormat="1" applyFont="1" applyFill="1" applyBorder="1" applyAlignment="1" applyProtection="1">
      <alignment horizontal="center" vertical="center"/>
      <protection hidden="1"/>
    </xf>
    <xf numFmtId="3" fontId="10" fillId="4" borderId="39" xfId="97" applyNumberFormat="1" applyFont="1" applyFill="1" applyBorder="1" applyAlignment="1" applyProtection="1">
      <alignment horizontal="center" vertical="center"/>
      <protection hidden="1"/>
    </xf>
    <xf numFmtId="0" fontId="9" fillId="0" borderId="31" xfId="97" applyBorder="1" applyAlignment="1" applyProtection="1">
      <alignment horizontal="center"/>
      <protection hidden="1"/>
    </xf>
    <xf numFmtId="0" fontId="9" fillId="0" borderId="33" xfId="97" applyBorder="1" applyAlignment="1" applyProtection="1">
      <alignment horizontal="center"/>
      <protection hidden="1"/>
    </xf>
    <xf numFmtId="0" fontId="9" fillId="0" borderId="43" xfId="97" applyBorder="1" applyAlignment="1" applyProtection="1">
      <alignment horizontal="center"/>
      <protection hidden="1"/>
    </xf>
    <xf numFmtId="0" fontId="9" fillId="0" borderId="32" xfId="97" applyBorder="1" applyAlignment="1" applyProtection="1">
      <alignment horizontal="center"/>
      <protection hidden="1"/>
    </xf>
    <xf numFmtId="0" fontId="9" fillId="0" borderId="85" xfId="97" applyBorder="1" applyAlignment="1" applyProtection="1">
      <alignment horizontal="center"/>
      <protection hidden="1"/>
    </xf>
    <xf numFmtId="0" fontId="10" fillId="4" borderId="21" xfId="97" applyFont="1" applyFill="1" applyBorder="1" applyAlignment="1" applyProtection="1">
      <alignment horizontal="center" vertical="center" wrapText="1"/>
      <protection hidden="1"/>
    </xf>
    <xf numFmtId="0" fontId="10" fillId="4" borderId="19" xfId="97" applyFont="1" applyFill="1" applyBorder="1" applyAlignment="1" applyProtection="1">
      <alignment horizontal="center" vertical="center" wrapText="1"/>
      <protection hidden="1"/>
    </xf>
    <xf numFmtId="0" fontId="10" fillId="9" borderId="0" xfId="97" applyFont="1" applyFill="1" applyAlignment="1" applyProtection="1">
      <alignment horizontal="center" vertical="center"/>
      <protection hidden="1"/>
    </xf>
    <xf numFmtId="3" fontId="10" fillId="4" borderId="31" xfId="97" applyNumberFormat="1" applyFont="1" applyFill="1" applyBorder="1" applyAlignment="1" applyProtection="1">
      <alignment horizontal="center" vertical="center"/>
      <protection hidden="1"/>
    </xf>
    <xf numFmtId="3" fontId="10" fillId="4" borderId="33" xfId="97" applyNumberFormat="1" applyFont="1" applyFill="1" applyBorder="1" applyAlignment="1" applyProtection="1">
      <alignment horizontal="center" vertical="center"/>
      <protection hidden="1"/>
    </xf>
    <xf numFmtId="0" fontId="9" fillId="0" borderId="80" xfId="97" applyBorder="1" applyAlignment="1" applyProtection="1">
      <alignment horizontal="center"/>
      <protection hidden="1"/>
    </xf>
    <xf numFmtId="0" fontId="9" fillId="0" borderId="39" xfId="97" applyBorder="1" applyAlignment="1" applyProtection="1">
      <alignment horizontal="center"/>
      <protection hidden="1"/>
    </xf>
    <xf numFmtId="0" fontId="9" fillId="0" borderId="40" xfId="97" applyBorder="1" applyAlignment="1" applyProtection="1">
      <alignment horizontal="center"/>
      <protection hidden="1"/>
    </xf>
    <xf numFmtId="0" fontId="9" fillId="0" borderId="81" xfId="97" applyBorder="1" applyAlignment="1" applyProtection="1">
      <alignment horizontal="center"/>
      <protection hidden="1"/>
    </xf>
    <xf numFmtId="0" fontId="9" fillId="0" borderId="52" xfId="97" applyBorder="1" applyAlignment="1" applyProtection="1">
      <alignment horizontal="center"/>
      <protection hidden="1"/>
    </xf>
    <xf numFmtId="3" fontId="10" fillId="4" borderId="10" xfId="97" applyNumberFormat="1" applyFont="1" applyFill="1" applyBorder="1" applyAlignment="1" applyProtection="1">
      <alignment horizontal="center" vertical="center"/>
      <protection hidden="1"/>
    </xf>
    <xf numFmtId="3" fontId="10" fillId="4" borderId="78" xfId="97" applyNumberFormat="1" applyFont="1" applyFill="1" applyBorder="1" applyAlignment="1" applyProtection="1">
      <alignment horizontal="center" vertical="center"/>
      <protection hidden="1"/>
    </xf>
    <xf numFmtId="3" fontId="10" fillId="4" borderId="55" xfId="97" applyNumberFormat="1" applyFont="1" applyFill="1" applyBorder="1" applyAlignment="1" applyProtection="1">
      <alignment horizontal="center" vertical="center"/>
      <protection hidden="1"/>
    </xf>
    <xf numFmtId="3" fontId="10" fillId="4" borderId="37" xfId="97" applyNumberFormat="1" applyFont="1" applyFill="1" applyBorder="1" applyAlignment="1" applyProtection="1">
      <alignment horizontal="center" vertical="center"/>
      <protection hidden="1"/>
    </xf>
    <xf numFmtId="0" fontId="10" fillId="4" borderId="7" xfId="97" applyFont="1" applyFill="1" applyBorder="1" applyAlignment="1" applyProtection="1">
      <alignment horizontal="center" vertical="center" wrapText="1"/>
      <protection hidden="1"/>
    </xf>
    <xf numFmtId="0" fontId="21" fillId="0" borderId="0" xfId="97" applyFont="1" applyAlignment="1" applyProtection="1">
      <alignment horizontal="center"/>
      <protection hidden="1"/>
    </xf>
    <xf numFmtId="0" fontId="10" fillId="4" borderId="7" xfId="0" applyFont="1" applyFill="1" applyBorder="1" applyAlignment="1" applyProtection="1">
      <alignment horizontal="center" vertical="center" wrapText="1"/>
      <protection hidden="1"/>
    </xf>
    <xf numFmtId="3" fontId="10" fillId="4" borderId="57" xfId="97" applyNumberFormat="1" applyFont="1" applyFill="1" applyBorder="1" applyAlignment="1" applyProtection="1">
      <alignment horizontal="center" vertical="center"/>
      <protection hidden="1"/>
    </xf>
    <xf numFmtId="3" fontId="10" fillId="4" borderId="11" xfId="97" applyNumberFormat="1" applyFont="1" applyFill="1" applyBorder="1" applyAlignment="1" applyProtection="1">
      <alignment horizontal="center" vertical="center"/>
      <protection hidden="1"/>
    </xf>
    <xf numFmtId="3" fontId="10" fillId="4" borderId="53" xfId="97" applyNumberFormat="1" applyFont="1" applyFill="1" applyBorder="1" applyAlignment="1" applyProtection="1">
      <alignment horizontal="center" vertical="center"/>
      <protection hidden="1"/>
    </xf>
    <xf numFmtId="0" fontId="10" fillId="25" borderId="7" xfId="97" applyFont="1" applyFill="1" applyBorder="1" applyAlignment="1" applyProtection="1">
      <alignment horizontal="center" vertical="center" wrapText="1"/>
      <protection hidden="1"/>
    </xf>
    <xf numFmtId="0" fontId="25" fillId="0" borderId="0" xfId="97" applyFont="1" applyAlignment="1" applyProtection="1">
      <alignment horizontal="center" vertical="center" wrapText="1"/>
      <protection locked="0"/>
    </xf>
    <xf numFmtId="0" fontId="81" fillId="34" borderId="7" xfId="0" applyFont="1" applyFill="1" applyBorder="1" applyAlignment="1">
      <alignment horizontal="center" vertical="center"/>
    </xf>
    <xf numFmtId="0" fontId="9" fillId="0" borderId="7" xfId="96" applyBorder="1" applyAlignment="1" applyProtection="1">
      <alignment horizontal="center" vertical="center" wrapText="1"/>
      <protection hidden="1"/>
    </xf>
    <xf numFmtId="0" fontId="79" fillId="26" borderId="21" xfId="0" applyFont="1" applyFill="1" applyBorder="1" applyAlignment="1">
      <alignment horizontal="center" vertical="center" wrapText="1"/>
    </xf>
    <xf numFmtId="0" fontId="79" fillId="26" borderId="45" xfId="0" applyFont="1" applyFill="1" applyBorder="1" applyAlignment="1">
      <alignment horizontal="center" vertical="center" wrapText="1"/>
    </xf>
    <xf numFmtId="0" fontId="79" fillId="26" borderId="19" xfId="0" applyFont="1" applyFill="1" applyBorder="1" applyAlignment="1">
      <alignment horizontal="center" vertical="center" wrapText="1"/>
    </xf>
    <xf numFmtId="211" fontId="10" fillId="26" borderId="7" xfId="62" applyNumberFormat="1" applyFont="1" applyFill="1" applyBorder="1" applyAlignment="1" applyProtection="1">
      <alignment horizontal="center" vertical="center" wrapText="1"/>
      <protection hidden="1"/>
    </xf>
    <xf numFmtId="211" fontId="10" fillId="39" borderId="7" xfId="62" applyNumberFormat="1" applyFont="1" applyFill="1" applyBorder="1" applyAlignment="1" applyProtection="1">
      <alignment horizontal="center" vertical="center" wrapText="1"/>
      <protection hidden="1"/>
    </xf>
    <xf numFmtId="0" fontId="78" fillId="26" borderId="7" xfId="0" applyFont="1" applyFill="1" applyBorder="1" applyAlignment="1">
      <alignment horizontal="center" vertical="center" wrapText="1"/>
    </xf>
    <xf numFmtId="0" fontId="78" fillId="39" borderId="7" xfId="0" applyFont="1" applyFill="1" applyBorder="1" applyAlignment="1">
      <alignment horizontal="center" vertical="center" wrapText="1"/>
    </xf>
    <xf numFmtId="0" fontId="10" fillId="35" borderId="7" xfId="96" applyFont="1" applyFill="1" applyBorder="1" applyAlignment="1" applyProtection="1">
      <alignment horizontal="center" vertical="center" wrapText="1"/>
      <protection hidden="1"/>
    </xf>
    <xf numFmtId="0" fontId="10" fillId="26" borderId="7" xfId="96" applyFont="1" applyFill="1" applyBorder="1" applyAlignment="1" applyProtection="1">
      <alignment horizontal="center" vertical="center" wrapText="1"/>
      <protection hidden="1"/>
    </xf>
    <xf numFmtId="0" fontId="9" fillId="0" borderId="35" xfId="96" applyBorder="1" applyAlignment="1" applyProtection="1">
      <alignment horizontal="justify" vertical="center" wrapText="1"/>
      <protection hidden="1"/>
    </xf>
    <xf numFmtId="0" fontId="9" fillId="0" borderId="37" xfId="96" applyBorder="1" applyAlignment="1" applyProtection="1">
      <alignment horizontal="justify" vertical="center" wrapText="1"/>
      <protection hidden="1"/>
    </xf>
    <xf numFmtId="211" fontId="25" fillId="42" borderId="7" xfId="54" applyNumberFormat="1" applyFont="1" applyFill="1" applyBorder="1" applyAlignment="1" applyProtection="1">
      <alignment horizontal="center" vertical="center"/>
      <protection hidden="1"/>
    </xf>
    <xf numFmtId="3" fontId="10" fillId="0" borderId="86" xfId="96" applyNumberFormat="1" applyFont="1" applyBorder="1" applyAlignment="1" applyProtection="1">
      <alignment horizontal="justify" vertical="center" wrapText="1"/>
      <protection hidden="1"/>
    </xf>
    <xf numFmtId="3" fontId="10" fillId="0" borderId="87" xfId="96" applyNumberFormat="1" applyFont="1" applyBorder="1" applyAlignment="1" applyProtection="1">
      <alignment horizontal="justify" vertical="center" wrapText="1"/>
      <protection hidden="1"/>
    </xf>
    <xf numFmtId="3" fontId="10" fillId="0" borderId="88" xfId="96" applyNumberFormat="1" applyFont="1" applyBorder="1" applyAlignment="1" applyProtection="1">
      <alignment horizontal="justify" vertical="center" wrapText="1"/>
      <protection hidden="1"/>
    </xf>
    <xf numFmtId="3" fontId="10" fillId="24" borderId="86" xfId="96" applyNumberFormat="1" applyFont="1" applyFill="1" applyBorder="1" applyAlignment="1" applyProtection="1">
      <alignment horizontal="justify" vertical="center" wrapText="1"/>
      <protection hidden="1"/>
    </xf>
    <xf numFmtId="3" fontId="10" fillId="24" borderId="87" xfId="96" applyNumberFormat="1" applyFont="1" applyFill="1" applyBorder="1" applyAlignment="1" applyProtection="1">
      <alignment horizontal="justify" vertical="center" wrapText="1"/>
      <protection hidden="1"/>
    </xf>
    <xf numFmtId="3" fontId="10" fillId="24" borderId="88" xfId="96" applyNumberFormat="1" applyFont="1" applyFill="1" applyBorder="1" applyAlignment="1" applyProtection="1">
      <alignment horizontal="justify" vertical="center" wrapText="1"/>
      <protection hidden="1"/>
    </xf>
    <xf numFmtId="3" fontId="10" fillId="12" borderId="86" xfId="96" applyNumberFormat="1" applyFont="1" applyFill="1" applyBorder="1" applyAlignment="1" applyProtection="1">
      <alignment horizontal="justify" vertical="center" wrapText="1"/>
      <protection hidden="1"/>
    </xf>
    <xf numFmtId="3" fontId="10" fillId="12" borderId="87" xfId="96" applyNumberFormat="1" applyFont="1" applyFill="1" applyBorder="1" applyAlignment="1" applyProtection="1">
      <alignment horizontal="justify" vertical="center" wrapText="1"/>
      <protection hidden="1"/>
    </xf>
    <xf numFmtId="3" fontId="10" fillId="12" borderId="88" xfId="96" applyNumberFormat="1" applyFont="1" applyFill="1" applyBorder="1" applyAlignment="1" applyProtection="1">
      <alignment horizontal="justify" vertical="center" wrapText="1"/>
      <protection hidden="1"/>
    </xf>
    <xf numFmtId="3" fontId="10" fillId="17" borderId="86" xfId="96" applyNumberFormat="1" applyFont="1" applyFill="1" applyBorder="1" applyAlignment="1" applyProtection="1">
      <alignment horizontal="justify" vertical="center" wrapText="1"/>
      <protection hidden="1"/>
    </xf>
    <xf numFmtId="3" fontId="10" fillId="17" borderId="87" xfId="96" applyNumberFormat="1" applyFont="1" applyFill="1" applyBorder="1" applyAlignment="1" applyProtection="1">
      <alignment horizontal="justify" vertical="center" wrapText="1"/>
      <protection hidden="1"/>
    </xf>
    <xf numFmtId="3" fontId="10" fillId="17" borderId="88" xfId="96" applyNumberFormat="1" applyFont="1" applyFill="1" applyBorder="1" applyAlignment="1" applyProtection="1">
      <alignment horizontal="justify" vertical="center" wrapText="1"/>
      <protection hidden="1"/>
    </xf>
    <xf numFmtId="3" fontId="10" fillId="34" borderId="86" xfId="96" applyNumberFormat="1" applyFont="1" applyFill="1" applyBorder="1" applyAlignment="1" applyProtection="1">
      <alignment horizontal="justify" vertical="center" wrapText="1"/>
      <protection hidden="1"/>
    </xf>
    <xf numFmtId="3" fontId="10" fillId="34" borderId="87" xfId="96" applyNumberFormat="1" applyFont="1" applyFill="1" applyBorder="1" applyAlignment="1" applyProtection="1">
      <alignment horizontal="justify" vertical="center" wrapText="1"/>
      <protection hidden="1"/>
    </xf>
    <xf numFmtId="3" fontId="10" fillId="34" borderId="88" xfId="96" applyNumberFormat="1" applyFont="1" applyFill="1" applyBorder="1" applyAlignment="1" applyProtection="1">
      <alignment horizontal="justify" vertical="center" wrapText="1"/>
      <protection hidden="1"/>
    </xf>
    <xf numFmtId="3" fontId="10" fillId="14" borderId="86" xfId="96" applyNumberFormat="1" applyFont="1" applyFill="1" applyBorder="1" applyAlignment="1" applyProtection="1">
      <alignment horizontal="justify" vertical="center" wrapText="1"/>
      <protection hidden="1"/>
    </xf>
    <xf numFmtId="3" fontId="10" fillId="14" borderId="87" xfId="96" applyNumberFormat="1" applyFont="1" applyFill="1" applyBorder="1" applyAlignment="1" applyProtection="1">
      <alignment horizontal="justify" vertical="center" wrapText="1"/>
      <protection hidden="1"/>
    </xf>
    <xf numFmtId="3" fontId="10" fillId="14" borderId="88" xfId="96" applyNumberFormat="1" applyFont="1" applyFill="1" applyBorder="1" applyAlignment="1" applyProtection="1">
      <alignment horizontal="justify" vertical="center" wrapText="1"/>
      <protection hidden="1"/>
    </xf>
    <xf numFmtId="0" fontId="10" fillId="0" borderId="0" xfId="96" applyFont="1" applyAlignment="1" applyProtection="1">
      <alignment horizontal="center" vertical="center"/>
      <protection hidden="1"/>
    </xf>
    <xf numFmtId="0" fontId="10" fillId="0" borderId="86" xfId="96" applyFont="1" applyBorder="1" applyAlignment="1" applyProtection="1">
      <alignment horizontal="left" vertical="center"/>
      <protection hidden="1"/>
    </xf>
    <xf numFmtId="0" fontId="10" fillId="0" borderId="87" xfId="96" applyFont="1" applyBorder="1" applyAlignment="1" applyProtection="1">
      <alignment horizontal="left" vertical="center"/>
      <protection hidden="1"/>
    </xf>
    <xf numFmtId="0" fontId="10" fillId="0" borderId="88" xfId="96" applyFont="1" applyBorder="1" applyAlignment="1" applyProtection="1">
      <alignment horizontal="left" vertical="center"/>
      <protection hidden="1"/>
    </xf>
    <xf numFmtId="3" fontId="0" fillId="32" borderId="86" xfId="96" applyNumberFormat="1" applyFont="1" applyFill="1" applyBorder="1" applyAlignment="1" applyProtection="1">
      <alignment horizontal="justify" vertical="center" wrapText="1"/>
      <protection hidden="1"/>
    </xf>
    <xf numFmtId="3" fontId="10" fillId="32" borderId="87" xfId="96" applyNumberFormat="1" applyFont="1" applyFill="1" applyBorder="1" applyAlignment="1" applyProtection="1">
      <alignment horizontal="justify" vertical="center" wrapText="1"/>
      <protection hidden="1"/>
    </xf>
    <xf numFmtId="3" fontId="10" fillId="32" borderId="63" xfId="96" applyNumberFormat="1" applyFont="1" applyFill="1" applyBorder="1" applyAlignment="1" applyProtection="1">
      <alignment horizontal="justify" vertical="center" wrapText="1"/>
      <protection hidden="1"/>
    </xf>
    <xf numFmtId="3" fontId="10" fillId="32" borderId="88" xfId="96" applyNumberFormat="1" applyFont="1" applyFill="1" applyBorder="1" applyAlignment="1" applyProtection="1">
      <alignment horizontal="justify" vertical="center" wrapText="1"/>
      <protection hidden="1"/>
    </xf>
    <xf numFmtId="3" fontId="10" fillId="26" borderId="7" xfId="96" applyNumberFormat="1" applyFont="1" applyFill="1" applyBorder="1" applyAlignment="1" applyProtection="1">
      <alignment horizontal="center" vertical="center"/>
      <protection hidden="1"/>
    </xf>
    <xf numFmtId="0" fontId="10" fillId="26" borderId="7" xfId="96" applyFont="1" applyFill="1" applyBorder="1" applyAlignment="1" applyProtection="1">
      <alignment horizontal="center" vertical="center"/>
      <protection hidden="1"/>
    </xf>
    <xf numFmtId="0" fontId="57" fillId="42" borderId="7" xfId="124" applyFont="1" applyFill="1" applyBorder="1" applyAlignment="1">
      <alignment horizontal="center" vertical="center"/>
    </xf>
    <xf numFmtId="0" fontId="66" fillId="37" borderId="35" xfId="124" applyFont="1" applyFill="1" applyBorder="1" applyAlignment="1">
      <alignment horizontal="center" vertical="center"/>
    </xf>
    <xf numFmtId="0" fontId="66" fillId="37" borderId="36" xfId="124" applyFont="1" applyFill="1" applyBorder="1" applyAlignment="1">
      <alignment horizontal="center" vertical="center"/>
    </xf>
    <xf numFmtId="0" fontId="66" fillId="37" borderId="37" xfId="124" applyFont="1" applyFill="1" applyBorder="1" applyAlignment="1">
      <alignment horizontal="center" vertical="center"/>
    </xf>
    <xf numFmtId="0" fontId="57" fillId="37" borderId="7" xfId="124" applyFont="1" applyFill="1" applyBorder="1" applyAlignment="1">
      <alignment horizontal="center" vertical="center" wrapText="1"/>
    </xf>
    <xf numFmtId="0" fontId="57" fillId="42" borderId="95" xfId="124" applyFont="1" applyFill="1" applyBorder="1" applyAlignment="1">
      <alignment horizontal="center" vertical="center"/>
    </xf>
    <xf numFmtId="0" fontId="57" fillId="42" borderId="26" xfId="124" applyFont="1" applyFill="1" applyBorder="1" applyAlignment="1">
      <alignment horizontal="center" vertical="center"/>
    </xf>
    <xf numFmtId="0" fontId="82" fillId="26" borderId="21" xfId="0" applyFont="1" applyFill="1" applyBorder="1" applyAlignment="1">
      <alignment horizontal="center" vertical="center" wrapText="1"/>
    </xf>
    <xf numFmtId="0" fontId="82" fillId="26" borderId="45" xfId="0" applyFont="1" applyFill="1" applyBorder="1" applyAlignment="1">
      <alignment horizontal="center" vertical="center" wrapText="1"/>
    </xf>
    <xf numFmtId="0" fontId="82" fillId="26" borderId="19" xfId="0" applyFont="1" applyFill="1" applyBorder="1" applyAlignment="1">
      <alignment horizontal="center" vertical="center" wrapText="1"/>
    </xf>
    <xf numFmtId="0" fontId="57" fillId="0" borderId="7" xfId="0" applyFont="1" applyBorder="1" applyAlignment="1">
      <alignment horizontal="center" vertical="center" wrapText="1"/>
    </xf>
    <xf numFmtId="0" fontId="84" fillId="28" borderId="35" xfId="0" applyFont="1" applyFill="1" applyBorder="1" applyAlignment="1">
      <alignment horizontal="center" vertical="center"/>
    </xf>
    <xf numFmtId="0" fontId="84" fillId="28" borderId="36" xfId="0" applyFont="1" applyFill="1" applyBorder="1" applyAlignment="1">
      <alignment horizontal="center" vertical="center"/>
    </xf>
    <xf numFmtId="0" fontId="84" fillId="28" borderId="37" xfId="0" applyFont="1" applyFill="1" applyBorder="1" applyAlignment="1">
      <alignment horizontal="center" vertical="center"/>
    </xf>
    <xf numFmtId="0" fontId="79" fillId="26" borderId="7" xfId="0" applyFont="1" applyFill="1" applyBorder="1" applyAlignment="1">
      <alignment horizontal="center" vertical="center" wrapText="1"/>
    </xf>
    <xf numFmtId="0" fontId="81" fillId="42" borderId="7" xfId="127" applyFont="1" applyFill="1" applyBorder="1" applyAlignment="1">
      <alignment horizontal="center" vertical="center"/>
    </xf>
    <xf numFmtId="0" fontId="84" fillId="28" borderId="7" xfId="0" applyFont="1" applyFill="1" applyBorder="1" applyAlignment="1">
      <alignment horizontal="center" vertical="center"/>
    </xf>
    <xf numFmtId="0" fontId="78" fillId="26" borderId="35" xfId="0" applyFont="1" applyFill="1" applyBorder="1" applyAlignment="1">
      <alignment horizontal="center" vertical="center" wrapText="1"/>
    </xf>
    <xf numFmtId="0" fontId="78" fillId="26" borderId="37" xfId="0" applyFont="1" applyFill="1" applyBorder="1" applyAlignment="1">
      <alignment horizontal="center" vertical="center" wrapText="1"/>
    </xf>
    <xf numFmtId="0" fontId="48" fillId="0" borderId="12" xfId="0" applyFont="1" applyBorder="1" applyAlignment="1" applyProtection="1">
      <alignment horizontal="center" vertical="center"/>
      <protection hidden="1"/>
    </xf>
    <xf numFmtId="0" fontId="11" fillId="0" borderId="77" xfId="0" applyFont="1" applyBorder="1" applyAlignment="1" applyProtection="1">
      <alignment horizontal="justify" vertical="center" wrapText="1"/>
      <protection hidden="1"/>
    </xf>
    <xf numFmtId="0" fontId="11" fillId="0" borderId="12" xfId="0" applyFont="1" applyBorder="1" applyAlignment="1" applyProtection="1">
      <alignment horizontal="justify" vertical="center" wrapText="1"/>
      <protection hidden="1"/>
    </xf>
    <xf numFmtId="0" fontId="11" fillId="0" borderId="83" xfId="0" applyFont="1" applyBorder="1" applyAlignment="1" applyProtection="1">
      <alignment horizontal="justify" vertical="center" wrapText="1"/>
      <protection hidden="1"/>
    </xf>
  </cellXfs>
  <cellStyles count="162">
    <cellStyle name="%" xfId="1" xr:uid="{00000000-0005-0000-0000-000000000000}"/>
    <cellStyle name="Cabecera 1" xfId="2" xr:uid="{00000000-0005-0000-0000-000001000000}"/>
    <cellStyle name="Cabecera 2" xfId="3" xr:uid="{00000000-0005-0000-0000-000002000000}"/>
    <cellStyle name="Coma 2" xfId="4" xr:uid="{00000000-0005-0000-0000-000003000000}"/>
    <cellStyle name="Coma 2 2" xfId="5" xr:uid="{00000000-0005-0000-0000-000004000000}"/>
    <cellStyle name="Coma 3" xfId="6" xr:uid="{00000000-0005-0000-0000-000005000000}"/>
    <cellStyle name="Coma 3 2" xfId="7" xr:uid="{00000000-0005-0000-0000-000006000000}"/>
    <cellStyle name="Comma" xfId="8" xr:uid="{00000000-0005-0000-0000-000007000000}"/>
    <cellStyle name="Comma0" xfId="9" xr:uid="{00000000-0005-0000-0000-000008000000}"/>
    <cellStyle name="Currency" xfId="10" xr:uid="{00000000-0005-0000-0000-000009000000}"/>
    <cellStyle name="Currency0" xfId="11" xr:uid="{00000000-0005-0000-0000-00000A000000}"/>
    <cellStyle name="Date" xfId="12" xr:uid="{00000000-0005-0000-0000-00000B000000}"/>
    <cellStyle name="Estilo 1" xfId="13" xr:uid="{00000000-0005-0000-0000-00000C000000}"/>
    <cellStyle name="Euro" xfId="14" xr:uid="{00000000-0005-0000-0000-00000D000000}"/>
    <cellStyle name="Euro 2" xfId="135" xr:uid="{00000000-0005-0000-0000-00000E000000}"/>
    <cellStyle name="F#1" xfId="15" xr:uid="{00000000-0005-0000-0000-00000F000000}"/>
    <cellStyle name="F#2" xfId="16" xr:uid="{00000000-0005-0000-0000-000010000000}"/>
    <cellStyle name="F#3" xfId="17" xr:uid="{00000000-0005-0000-0000-000011000000}"/>
    <cellStyle name="F#4" xfId="18" xr:uid="{00000000-0005-0000-0000-000012000000}"/>
    <cellStyle name="F#5" xfId="19" xr:uid="{00000000-0005-0000-0000-000013000000}"/>
    <cellStyle name="F#6" xfId="20" xr:uid="{00000000-0005-0000-0000-000014000000}"/>
    <cellStyle name="F%1" xfId="21" xr:uid="{00000000-0005-0000-0000-000015000000}"/>
    <cellStyle name="F%2" xfId="22" xr:uid="{00000000-0005-0000-0000-000016000000}"/>
    <cellStyle name="F%3" xfId="23" xr:uid="{00000000-0005-0000-0000-000017000000}"/>
    <cellStyle name="F%4" xfId="24" xr:uid="{00000000-0005-0000-0000-000018000000}"/>
    <cellStyle name="F%5" xfId="25" xr:uid="{00000000-0005-0000-0000-000019000000}"/>
    <cellStyle name="Fecha" xfId="26" xr:uid="{00000000-0005-0000-0000-00001A000000}"/>
    <cellStyle name="Fijo" xfId="27" xr:uid="{00000000-0005-0000-0000-00001B000000}"/>
    <cellStyle name="Fixed" xfId="28" xr:uid="{00000000-0005-0000-0000-00001C000000}"/>
    <cellStyle name="Heading 1" xfId="29" xr:uid="{00000000-0005-0000-0000-00001D000000}"/>
    <cellStyle name="Heading 2" xfId="30" xr:uid="{00000000-0005-0000-0000-00001E000000}"/>
    <cellStyle name="Heading1" xfId="31" xr:uid="{00000000-0005-0000-0000-00001F000000}"/>
    <cellStyle name="Heading2" xfId="32" xr:uid="{00000000-0005-0000-0000-000020000000}"/>
    <cellStyle name="Hipervínculo" xfId="126" builtinId="8"/>
    <cellStyle name="Hipervínculo 2" xfId="33" xr:uid="{00000000-0005-0000-0000-000022000000}"/>
    <cellStyle name="Hipervínculo 3" xfId="34" xr:uid="{00000000-0005-0000-0000-000023000000}"/>
    <cellStyle name="Millares" xfId="35" builtinId="3"/>
    <cellStyle name="Millares [0] 2" xfId="36" xr:uid="{00000000-0005-0000-0000-000025000000}"/>
    <cellStyle name="Millares [0] 2 2" xfId="37" xr:uid="{00000000-0005-0000-0000-000026000000}"/>
    <cellStyle name="Millares [0] 3" xfId="38" xr:uid="{00000000-0005-0000-0000-000027000000}"/>
    <cellStyle name="Millares 10" xfId="137" xr:uid="{00000000-0005-0000-0000-000028000000}"/>
    <cellStyle name="Millares 2" xfId="39" xr:uid="{00000000-0005-0000-0000-000029000000}"/>
    <cellStyle name="Millares 2 2" xfId="40" xr:uid="{00000000-0005-0000-0000-00002A000000}"/>
    <cellStyle name="Millares 2 2 2" xfId="138" xr:uid="{00000000-0005-0000-0000-00002B000000}"/>
    <cellStyle name="Millares 2 3" xfId="41" xr:uid="{00000000-0005-0000-0000-00002C000000}"/>
    <cellStyle name="Millares 2 5" xfId="139" xr:uid="{00000000-0005-0000-0000-00002D000000}"/>
    <cellStyle name="Millares 3" xfId="42" xr:uid="{00000000-0005-0000-0000-00002E000000}"/>
    <cellStyle name="Millares 3 2" xfId="43" xr:uid="{00000000-0005-0000-0000-00002F000000}"/>
    <cellStyle name="Millares 3 2 2" xfId="141" xr:uid="{00000000-0005-0000-0000-000030000000}"/>
    <cellStyle name="Millares 3 3" xfId="44" xr:uid="{00000000-0005-0000-0000-000031000000}"/>
    <cellStyle name="Millares 3 3 2" xfId="45" xr:uid="{00000000-0005-0000-0000-000032000000}"/>
    <cellStyle name="Millares 3 4" xfId="46" xr:uid="{00000000-0005-0000-0000-000033000000}"/>
    <cellStyle name="Millares 3 5" xfId="140" xr:uid="{00000000-0005-0000-0000-000034000000}"/>
    <cellStyle name="Millares 4" xfId="47" xr:uid="{00000000-0005-0000-0000-000035000000}"/>
    <cellStyle name="Millares 4 2" xfId="48" xr:uid="{00000000-0005-0000-0000-000036000000}"/>
    <cellStyle name="Millares 4 3" xfId="142" xr:uid="{00000000-0005-0000-0000-000037000000}"/>
    <cellStyle name="Millares 5" xfId="49" xr:uid="{00000000-0005-0000-0000-000038000000}"/>
    <cellStyle name="Millares 5 2" xfId="50" xr:uid="{00000000-0005-0000-0000-000039000000}"/>
    <cellStyle name="Millares 6" xfId="51" xr:uid="{00000000-0005-0000-0000-00003A000000}"/>
    <cellStyle name="Millares 7" xfId="52" xr:uid="{00000000-0005-0000-0000-00003B000000}"/>
    <cellStyle name="Millares 7 2" xfId="53" xr:uid="{00000000-0005-0000-0000-00003C000000}"/>
    <cellStyle name="Millares 8" xfId="136" xr:uid="{00000000-0005-0000-0000-00003D000000}"/>
    <cellStyle name="Millares 9" xfId="160" xr:uid="{00000000-0005-0000-0000-00003E000000}"/>
    <cellStyle name="Moneda" xfId="54" builtinId="4"/>
    <cellStyle name="Moneda [0] 2" xfId="55" xr:uid="{00000000-0005-0000-0000-000040000000}"/>
    <cellStyle name="Moneda 10" xfId="144" xr:uid="{00000000-0005-0000-0000-000041000000}"/>
    <cellStyle name="Moneda 2" xfId="56" xr:uid="{00000000-0005-0000-0000-000042000000}"/>
    <cellStyle name="Moneda 2 2" xfId="145" xr:uid="{00000000-0005-0000-0000-000043000000}"/>
    <cellStyle name="Moneda 3" xfId="57" xr:uid="{00000000-0005-0000-0000-000044000000}"/>
    <cellStyle name="Moneda 3 2" xfId="58" xr:uid="{00000000-0005-0000-0000-000045000000}"/>
    <cellStyle name="Moneda 3 2 2" xfId="147" xr:uid="{00000000-0005-0000-0000-000046000000}"/>
    <cellStyle name="Moneda 3 3" xfId="146" xr:uid="{00000000-0005-0000-0000-000047000000}"/>
    <cellStyle name="Moneda 4" xfId="59" xr:uid="{00000000-0005-0000-0000-000048000000}"/>
    <cellStyle name="Moneda 5" xfId="60" xr:uid="{00000000-0005-0000-0000-000049000000}"/>
    <cellStyle name="Moneda 5 2" xfId="61" xr:uid="{00000000-0005-0000-0000-00004A000000}"/>
    <cellStyle name="Moneda 6" xfId="62" xr:uid="{00000000-0005-0000-0000-00004B000000}"/>
    <cellStyle name="Moneda 7" xfId="128" xr:uid="{00000000-0005-0000-0000-00004C000000}"/>
    <cellStyle name="Moneda 8" xfId="143" xr:uid="{00000000-0005-0000-0000-00004D000000}"/>
    <cellStyle name="Moneda 9" xfId="161" xr:uid="{00000000-0005-0000-0000-00004E000000}"/>
    <cellStyle name="Monetario" xfId="63" xr:uid="{00000000-0005-0000-0000-00004F000000}"/>
    <cellStyle name="Monetario0" xfId="64" xr:uid="{00000000-0005-0000-0000-000050000000}"/>
    <cellStyle name="Normal" xfId="0" builtinId="0"/>
    <cellStyle name="Normal 10" xfId="65" xr:uid="{00000000-0005-0000-0000-000052000000}"/>
    <cellStyle name="Normal 10 2 2" xfId="133" xr:uid="{00000000-0005-0000-0000-000053000000}"/>
    <cellStyle name="Normal 11" xfId="66" xr:uid="{00000000-0005-0000-0000-000054000000}"/>
    <cellStyle name="Normal 12" xfId="67" xr:uid="{00000000-0005-0000-0000-000055000000}"/>
    <cellStyle name="Normal 13" xfId="68" xr:uid="{00000000-0005-0000-0000-000056000000}"/>
    <cellStyle name="Normal 14" xfId="69" xr:uid="{00000000-0005-0000-0000-000057000000}"/>
    <cellStyle name="Normal 15" xfId="124" xr:uid="{00000000-0005-0000-0000-000058000000}"/>
    <cellStyle name="Normal 15 2" xfId="130" xr:uid="{00000000-0005-0000-0000-000059000000}"/>
    <cellStyle name="Normal 16" xfId="127" xr:uid="{00000000-0005-0000-0000-00005A000000}"/>
    <cellStyle name="Normal 17" xfId="70" xr:uid="{00000000-0005-0000-0000-00005B000000}"/>
    <cellStyle name="Normal 18" xfId="131" xr:uid="{00000000-0005-0000-0000-00005C000000}"/>
    <cellStyle name="Normal 19" xfId="148" xr:uid="{00000000-0005-0000-0000-00005D000000}"/>
    <cellStyle name="Normal 19 2" xfId="149" xr:uid="{00000000-0005-0000-0000-00005E000000}"/>
    <cellStyle name="Normal 2" xfId="71" xr:uid="{00000000-0005-0000-0000-00005F000000}"/>
    <cellStyle name="Normal 2 12" xfId="72" xr:uid="{00000000-0005-0000-0000-000060000000}"/>
    <cellStyle name="Normal 2 13" xfId="73" xr:uid="{00000000-0005-0000-0000-000061000000}"/>
    <cellStyle name="Normal 2 15" xfId="74" xr:uid="{00000000-0005-0000-0000-000062000000}"/>
    <cellStyle name="Normal 2 17" xfId="75" xr:uid="{00000000-0005-0000-0000-000063000000}"/>
    <cellStyle name="Normal 2 2" xfId="76" xr:uid="{00000000-0005-0000-0000-000064000000}"/>
    <cellStyle name="Normal 2 2 2" xfId="77" xr:uid="{00000000-0005-0000-0000-000065000000}"/>
    <cellStyle name="Normal 2 2 3" xfId="150" xr:uid="{00000000-0005-0000-0000-000066000000}"/>
    <cellStyle name="Normal 2 3" xfId="78" xr:uid="{00000000-0005-0000-0000-000067000000}"/>
    <cellStyle name="Normal 2 3 2" xfId="79" xr:uid="{00000000-0005-0000-0000-000068000000}"/>
    <cellStyle name="Normal 2 4" xfId="132" xr:uid="{00000000-0005-0000-0000-000069000000}"/>
    <cellStyle name="Normal 2 4 2" xfId="80" xr:uid="{00000000-0005-0000-0000-00006A000000}"/>
    <cellStyle name="Normal 2 5" xfId="81" xr:uid="{00000000-0005-0000-0000-00006B000000}"/>
    <cellStyle name="Normal 2 6" xfId="82" xr:uid="{00000000-0005-0000-0000-00006C000000}"/>
    <cellStyle name="Normal 2 9" xfId="83" xr:uid="{00000000-0005-0000-0000-00006D000000}"/>
    <cellStyle name="Normal 20" xfId="134" xr:uid="{00000000-0005-0000-0000-00006E000000}"/>
    <cellStyle name="Normal 3" xfId="84" xr:uid="{00000000-0005-0000-0000-00006F000000}"/>
    <cellStyle name="Normal 3 2" xfId="85" xr:uid="{00000000-0005-0000-0000-000070000000}"/>
    <cellStyle name="Normal 3 2 2" xfId="152" xr:uid="{00000000-0005-0000-0000-000071000000}"/>
    <cellStyle name="Normal 3 3" xfId="153" xr:uid="{00000000-0005-0000-0000-000072000000}"/>
    <cellStyle name="Normal 3 4" xfId="151" xr:uid="{00000000-0005-0000-0000-000073000000}"/>
    <cellStyle name="Normal 4" xfId="86" xr:uid="{00000000-0005-0000-0000-000074000000}"/>
    <cellStyle name="Normal 4 2" xfId="87" xr:uid="{00000000-0005-0000-0000-000075000000}"/>
    <cellStyle name="Normal 4 2 2" xfId="154" xr:uid="{00000000-0005-0000-0000-000076000000}"/>
    <cellStyle name="Normal 5" xfId="88" xr:uid="{00000000-0005-0000-0000-000077000000}"/>
    <cellStyle name="Normal 5 2" xfId="156" xr:uid="{00000000-0005-0000-0000-000078000000}"/>
    <cellStyle name="Normal 5 3" xfId="155" xr:uid="{00000000-0005-0000-0000-000079000000}"/>
    <cellStyle name="Normal 6" xfId="89" xr:uid="{00000000-0005-0000-0000-00007A000000}"/>
    <cellStyle name="Normal 6 2" xfId="90" xr:uid="{00000000-0005-0000-0000-00007B000000}"/>
    <cellStyle name="Normal 7" xfId="91" xr:uid="{00000000-0005-0000-0000-00007C000000}"/>
    <cellStyle name="Normal 7 2" xfId="92" xr:uid="{00000000-0005-0000-0000-00007D000000}"/>
    <cellStyle name="Normal 8" xfId="93" xr:uid="{00000000-0005-0000-0000-00007E000000}"/>
    <cellStyle name="Normal 9" xfId="94" xr:uid="{00000000-0005-0000-0000-00007F000000}"/>
    <cellStyle name="Normal_Acta apertura_formulario" xfId="95" xr:uid="{00000000-0005-0000-0000-000080000000}"/>
    <cellStyle name="Normal_APU TANQUES SEPTICOS 2" xfId="96" xr:uid="{00000000-0005-0000-0000-000081000000}"/>
    <cellStyle name="Normal_FICHAS UBIC.TANQUES SEPTICOS NUBIA" xfId="97" xr:uid="{00000000-0005-0000-0000-000082000000}"/>
    <cellStyle name="Normal_FOR-301.  Sábana CD-002070-3" xfId="98" xr:uid="{00000000-0005-0000-0000-000083000000}"/>
    <cellStyle name="Normal_Ppto. Sln. Indiv. Abril 14 Tarso 2" xfId="99" xr:uid="{00000000-0005-0000-0000-000084000000}"/>
    <cellStyle name="Normal_presupuesto Altavista Romaña 2" xfId="100" xr:uid="{00000000-0005-0000-0000-000085000000}"/>
    <cellStyle name="Normal_PRESUPUESTO OFICIAL" xfId="101" xr:uid="{00000000-0005-0000-0000-000086000000}"/>
    <cellStyle name="Normal_presupuesto San Cristobal Romaña con AIU 2" xfId="102" xr:uid="{00000000-0005-0000-0000-000087000000}"/>
    <cellStyle name="Percent" xfId="103" xr:uid="{00000000-0005-0000-0000-000088000000}"/>
    <cellStyle name="Porcentaje" xfId="104" builtinId="5"/>
    <cellStyle name="Porcentaje 2" xfId="105" xr:uid="{00000000-0005-0000-0000-00008A000000}"/>
    <cellStyle name="Porcentaje 3" xfId="125" xr:uid="{00000000-0005-0000-0000-00008B000000}"/>
    <cellStyle name="Porcentaje 3 2" xfId="158" xr:uid="{00000000-0005-0000-0000-00008C000000}"/>
    <cellStyle name="Porcentaje 4" xfId="129" xr:uid="{00000000-0005-0000-0000-00008D000000}"/>
    <cellStyle name="Porcentaje 5" xfId="157" xr:uid="{00000000-0005-0000-0000-00008E000000}"/>
    <cellStyle name="Porcentual 10" xfId="159" xr:uid="{00000000-0005-0000-0000-00008F000000}"/>
    <cellStyle name="Porcentual 2" xfId="106" xr:uid="{00000000-0005-0000-0000-000090000000}"/>
    <cellStyle name="Porcentual 3" xfId="107" xr:uid="{00000000-0005-0000-0000-000091000000}"/>
    <cellStyle name="Porcentual 4" xfId="108" xr:uid="{00000000-0005-0000-0000-000092000000}"/>
    <cellStyle name="Punto" xfId="109" xr:uid="{00000000-0005-0000-0000-000093000000}"/>
    <cellStyle name="Punto0" xfId="110" xr:uid="{00000000-0005-0000-0000-000094000000}"/>
    <cellStyle name="resaltado" xfId="111" xr:uid="{00000000-0005-0000-0000-000095000000}"/>
    <cellStyle name="Resumen" xfId="112" xr:uid="{00000000-0005-0000-0000-000096000000}"/>
    <cellStyle name="Text" xfId="113" xr:uid="{00000000-0005-0000-0000-000097000000}"/>
    <cellStyle name="ДАТА" xfId="114" xr:uid="{00000000-0005-0000-0000-000098000000}"/>
    <cellStyle name="ДЕНЕЖНЫЙ_BOPENGC" xfId="115" xr:uid="{00000000-0005-0000-0000-000099000000}"/>
    <cellStyle name="ЗАГОЛОВОК1" xfId="116" xr:uid="{00000000-0005-0000-0000-00009A000000}"/>
    <cellStyle name="ЗАГОЛОВОК2" xfId="117" xr:uid="{00000000-0005-0000-0000-00009B000000}"/>
    <cellStyle name="ИТОГОВЫЙ" xfId="118" xr:uid="{00000000-0005-0000-0000-00009C000000}"/>
    <cellStyle name="Обычный_BOPENGC" xfId="119" xr:uid="{00000000-0005-0000-0000-00009D000000}"/>
    <cellStyle name="ПРОЦЕНТНЫЙ_BOPENGC" xfId="120" xr:uid="{00000000-0005-0000-0000-00009E000000}"/>
    <cellStyle name="ТЕКСТ" xfId="121" xr:uid="{00000000-0005-0000-0000-00009F000000}"/>
    <cellStyle name="ФИКСИРОВАННЫЙ" xfId="122" xr:uid="{00000000-0005-0000-0000-0000A0000000}"/>
    <cellStyle name="ФИНАНСОВЫЙ_BOPENGC" xfId="123" xr:uid="{00000000-0005-0000-0000-0000A1000000}"/>
  </cellStyles>
  <dxfs count="20">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rgb="FFFFC7CE"/>
        </patternFill>
      </fill>
    </dxf>
    <dxf>
      <fill>
        <patternFill>
          <bgColor theme="9" tint="-0.24994659260841701"/>
        </patternFill>
      </fill>
    </dxf>
    <dxf>
      <font>
        <u/>
        <color indexed="10"/>
      </font>
    </dxf>
    <dxf>
      <font>
        <color indexed="10"/>
      </font>
    </dxf>
    <dxf>
      <font>
        <u/>
        <color indexed="10"/>
      </font>
    </dxf>
    <dxf>
      <font>
        <color indexed="1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b/>
        <i val="0"/>
        <color rgb="FFFF0000"/>
      </font>
    </dxf>
    <dxf>
      <font>
        <b/>
        <i val="0"/>
        <color rgb="FF92D050"/>
      </font>
    </dxf>
    <dxf>
      <font>
        <color rgb="FFFFFF00"/>
      </font>
    </dxf>
    <dxf>
      <font>
        <b/>
        <i val="0"/>
        <color rgb="FFFF0000"/>
      </font>
    </dxf>
    <dxf>
      <font>
        <b/>
        <i val="0"/>
        <color rgb="FF92D050"/>
      </font>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externalLink" Target="externalLinks/externalLink63.xml"/><Relationship Id="rId84" Type="http://schemas.openxmlformats.org/officeDocument/2006/relationships/externalLink" Target="externalLinks/externalLink7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sharedStrings" Target="sharedStrings.xml"/><Relationship Id="rId9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1031081</xdr:colOff>
      <xdr:row>0</xdr:row>
      <xdr:rowOff>0</xdr:rowOff>
    </xdr:from>
    <xdr:ext cx="969169" cy="654781"/>
    <xdr:pic>
      <xdr:nvPicPr>
        <xdr:cNvPr id="5" name="Imagen 2">
          <a:extLst>
            <a:ext uri="{FF2B5EF4-FFF2-40B4-BE49-F238E27FC236}">
              <a16:creationId xmlns:a16="http://schemas.microsoft.com/office/drawing/2014/main" id="{32A74FA9-3815-474D-A95E-9759BED72BD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1662"/>
        <a:stretch/>
      </xdr:blipFill>
      <xdr:spPr bwMode="auto">
        <a:xfrm>
          <a:off x="1031081" y="0"/>
          <a:ext cx="969169" cy="65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3379311</xdr:colOff>
      <xdr:row>59</xdr:row>
      <xdr:rowOff>0</xdr:rowOff>
    </xdr:from>
    <xdr:ext cx="1679580" cy="264560"/>
    <xdr:sp macro="" textlink="">
      <xdr:nvSpPr>
        <xdr:cNvPr id="2" name="1 CuadroTexto">
          <a:extLst>
            <a:ext uri="{FF2B5EF4-FFF2-40B4-BE49-F238E27FC236}">
              <a16:creationId xmlns:a16="http://schemas.microsoft.com/office/drawing/2014/main" id="{00000000-0008-0000-0200-000002000000}"/>
            </a:ext>
          </a:extLst>
        </xdr:cNvPr>
        <xdr:cNvSpPr txBox="1"/>
      </xdr:nvSpPr>
      <xdr:spPr>
        <a:xfrm>
          <a:off x="3376136"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2</xdr:col>
      <xdr:colOff>3379311</xdr:colOff>
      <xdr:row>59</xdr:row>
      <xdr:rowOff>0</xdr:rowOff>
    </xdr:from>
    <xdr:ext cx="1679580" cy="264560"/>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3376136"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twoCellAnchor>
    <xdr:from>
      <xdr:col>32</xdr:col>
      <xdr:colOff>1066992</xdr:colOff>
      <xdr:row>74</xdr:row>
      <xdr:rowOff>140239</xdr:rowOff>
    </xdr:from>
    <xdr:to>
      <xdr:col>35</xdr:col>
      <xdr:colOff>978147</xdr:colOff>
      <xdr:row>84</xdr:row>
      <xdr:rowOff>4902</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36882673" y="34333831"/>
          <a:ext cx="3469710" cy="159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s-419" sz="1100"/>
            <a:t>BUSCAR</a:t>
          </a:r>
          <a:r>
            <a:rPr lang="es-419" sz="1100" baseline="0"/>
            <a:t> ESTE VALOR  EN LA COLUMNA "TOPE" EN TABLA Y SELECCIONAR LA FILA QUE CORRESPONDA ES DECIR PARA ESTE CASO EL COSTO DEL PROYECTO SIN PERMISO DE VERTIMIENTO Y SIN INTERVENTORÍA ES DE $ 160,804,556, POR LO TANTO LA TARIFA DE PERMISO DE VERTIMIENTO SERÍA 1,301,800.  DIGITAR MANUALMENTE EL VALOR DE LA TARIFA DE PERMISO DE VETIMIENTOS</a:t>
          </a:r>
          <a:endParaRPr lang="es-419"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441960</xdr:colOff>
      <xdr:row>0</xdr:row>
      <xdr:rowOff>427354</xdr:rowOff>
    </xdr:from>
    <xdr:to>
      <xdr:col>9</xdr:col>
      <xdr:colOff>0</xdr:colOff>
      <xdr:row>9</xdr:row>
      <xdr:rowOff>92374</xdr:rowOff>
    </xdr:to>
    <xdr:pic>
      <xdr:nvPicPr>
        <xdr:cNvPr id="2" name="Imagen 1">
          <a:extLst>
            <a:ext uri="{FF2B5EF4-FFF2-40B4-BE49-F238E27FC236}">
              <a16:creationId xmlns:a16="http://schemas.microsoft.com/office/drawing/2014/main" id="{0DEDD042-D1FD-4BF3-8DA5-46CEED217B1A}"/>
            </a:ext>
          </a:extLst>
        </xdr:cNvPr>
        <xdr:cNvPicPr>
          <a:picLocks noChangeAspect="1"/>
        </xdr:cNvPicPr>
      </xdr:nvPicPr>
      <xdr:blipFill>
        <a:blip xmlns:r="http://schemas.openxmlformats.org/officeDocument/2006/relationships" r:embed="rId1"/>
        <a:stretch>
          <a:fillRect/>
        </a:stretch>
      </xdr:blipFill>
      <xdr:spPr>
        <a:xfrm>
          <a:off x="4831080" y="427354"/>
          <a:ext cx="5905500" cy="4267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70</xdr:row>
      <xdr:rowOff>45721</xdr:rowOff>
    </xdr:from>
    <xdr:to>
      <xdr:col>3</xdr:col>
      <xdr:colOff>1340240</xdr:colOff>
      <xdr:row>81</xdr:row>
      <xdr:rowOff>22861</xdr:rowOff>
    </xdr:to>
    <xdr:pic>
      <xdr:nvPicPr>
        <xdr:cNvPr id="2" name="Imagen 1">
          <a:extLst>
            <a:ext uri="{FF2B5EF4-FFF2-40B4-BE49-F238E27FC236}">
              <a16:creationId xmlns:a16="http://schemas.microsoft.com/office/drawing/2014/main" id="{E944DD70-6816-4C91-B54A-4839184BE53E}"/>
            </a:ext>
          </a:extLst>
        </xdr:cNvPr>
        <xdr:cNvPicPr>
          <a:picLocks noChangeAspect="1"/>
        </xdr:cNvPicPr>
      </xdr:nvPicPr>
      <xdr:blipFill>
        <a:blip xmlns:r="http://schemas.openxmlformats.org/officeDocument/2006/relationships" r:embed="rId1"/>
        <a:stretch>
          <a:fillRect/>
        </a:stretch>
      </xdr:blipFill>
      <xdr:spPr>
        <a:xfrm>
          <a:off x="0" y="14988541"/>
          <a:ext cx="6948560" cy="2240280"/>
        </a:xfrm>
        <a:prstGeom prst="rect">
          <a:avLst/>
        </a:prstGeom>
      </xdr:spPr>
    </xdr:pic>
    <xdr:clientData/>
  </xdr:twoCellAnchor>
  <xdr:twoCellAnchor editAs="oneCell">
    <xdr:from>
      <xdr:col>0</xdr:col>
      <xdr:colOff>144780</xdr:colOff>
      <xdr:row>85</xdr:row>
      <xdr:rowOff>91440</xdr:rowOff>
    </xdr:from>
    <xdr:to>
      <xdr:col>2</xdr:col>
      <xdr:colOff>104633</xdr:colOff>
      <xdr:row>100</xdr:row>
      <xdr:rowOff>620304</xdr:rowOff>
    </xdr:to>
    <xdr:pic>
      <xdr:nvPicPr>
        <xdr:cNvPr id="4" name="Imagen 3">
          <a:extLst>
            <a:ext uri="{FF2B5EF4-FFF2-40B4-BE49-F238E27FC236}">
              <a16:creationId xmlns:a16="http://schemas.microsoft.com/office/drawing/2014/main" id="{B06FFC93-27BC-41CF-B79F-14F076548CB7}"/>
            </a:ext>
          </a:extLst>
        </xdr:cNvPr>
        <xdr:cNvPicPr>
          <a:picLocks noChangeAspect="1"/>
        </xdr:cNvPicPr>
      </xdr:nvPicPr>
      <xdr:blipFill>
        <a:blip xmlns:r="http://schemas.openxmlformats.org/officeDocument/2006/relationships" r:embed="rId2"/>
        <a:stretch>
          <a:fillRect/>
        </a:stretch>
      </xdr:blipFill>
      <xdr:spPr>
        <a:xfrm>
          <a:off x="144780" y="18729960"/>
          <a:ext cx="4219433" cy="36149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ORLIDIA/CORANTIOQUIA/Procesos%202007/OBRA/SAN%20PEDRO/presupuesto%20san%20pedro_13%20junio"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cias3\AASSA\Documents\PRESUPUESTOS%20STA%20ROSA\ORIGINALES%20SANTA%20ROSA\ARAGON\Presupuesto%20Acueducto%20ARAG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c-cias3\compartido\SAN%20JOS&#201;%20ANDES\ANDES\EJEMPLOS%20PRESUPUESTOS\Presupuesto%20Acueducto%20ARAGON%20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cias3\compartido\INFORME%20EJEMPLO\Dise&#241;o\ARAGON\TOMO%201.%20ACUEDUCTO\ANEXOS%20DISE&#209;O\ANEXO%206.%20CANTIDADES%20DE%20OBRA%20PRESUPUESTO%20Y%20APU\Presupuesto%20Acueducto%20ARAG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Darwin\AASSA\AASSA\INFORME%20EJEMPLO\Dise&#241;o\ARAGON\TOMO%201.%20ACUEDUCTO\ANEXOS%20DISE&#209;O\ANEXO%206.%20CANTIDADES%20DE%20OBRA%20PRESUPUESTO%20Y%20APU\Presupuesto%20Acueducto%20ARAG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cias3\compartido\TAPARTO\PALERMO\PRESUPUESTO_REDES_LORICA_FASE_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c-cias3\compartido\TAPARTO\AASSA\Documents\PRESUPUESTOS%20STA%20ROSA\ORIGINALES%20SANTA%20ROSA\SAN%20PABLO\Presupuesto%20Acueducto%20SAN%20PABL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Mis%20documentos/DIANA/DIANA/PROCESOS%202014/TITIRIBI/PTAR%20ORIENTAL-SEPT%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rlex\San%20Jose\PROYECTOS\PMAA%20CA&#209;ASGORDAS\Ca&#241;asgordas\DISE&#209;O\PMAA\CD%20Zaragoza%20Bombeo\Presupuesto\PRESUPUESTO%20DEFINITIVO%20ZARAGO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cias3\compartido\Users\aassa\AppData\Local\Microsoft\Windows\Temporary%20Internet%20Files\Content.IE5\MWC8IHW3\Presupuesto%20Acueducto%20SAN%20PABLO%20TERMINAD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c-cias3\compartido\TAPARTO\PALERMO\BASE%20PRESUPUESTOS%20CONS_080_13_ANT\BASE%20PRESUPUESTO%20ACUEDUCTO\Presupuesto%20Acueducto%20ARAGON%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1%20EP%20SANEAMIENTO%20HIDRICO%20RURAL%20MODELO%202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C-PROYECTOS13\Compartida\SANTA%20ROSA%20DE%20OSOS\A.P.U_y_Presupuesto_acueducto_final-LORICA(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cias3\compartido\TAPARTO\AASSA\Documents\PRESUPUESTOS%20STA%20ROSA\ORIGINALES%20SANTA%20ROSA\ARAGON\Presupuesto%20Acueducto%20ARAG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CORANTIOQUIA-%20CALIDAD%20AMBIENTAL-%201407-71/convenio%20PTAR%20-%20CARACOL&#205;/Anexo_8_%20PPTO%20y%20APU%20PTAR%20CARACOL&#205;%20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cias1\compartido\Users\aassa\AppData\Local\Microsoft\Windows\Temporary%20Internet%20Files\Content.IE5\MWC8IHW3\Presupuesto%20Acueducto%20SAN%20PABLO%20TERMINAD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DOCUME~1/parteaga/CONFIG~1/Temp/ORLIDIA/CORANTIOQUIA/Procesos%202007/OBRA/SAN%20PEDRO/presupuesto%20san%20pedro_13%20junio"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Mis%20documentos/DIANA/DIANA/PROCESOS%202014/VENECIA/Anexo_8_Cantidades%20de%20Obra,%20APU&#180;s%20%20y%20Presupuesto-%20MAYO%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PROYECTOS12\Altos%20de%20la%20Virgen\HLOPEZA\CANTIDADES%20GERONA\Documents%20and%20Settings\swilches\Configuraci&#243;n%20local\Archivos%20temporales%20de%20Internet\OLK6\formulario%20ba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Users/marias/Downloads/APU-SEPT%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Users/wlujan/AppData/Local/Microsoft/Windows/Temporary%20Internet%20Files/Content.Outlook/BU0BAB07/APU-SEPT%20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CORANTIOQUIA-%20CALIDAD%20AMBIENTAL-%201407-71/convenio%20PTAR%20-%20CARACOL&#205;/PRESUPUESTO%20CARACOL&#205;%2029-1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eleal\PMAA%20VALDIVIA\PROYECTOS\BASE%20PRESUPUESTOS\PMAA\CD%20Zaragoza%20Bombeo\Presupuesto\PRESUPUESTO%20DEFINITIVO%20ZARAGOZ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PlaneacionIntegral/Bpc/Proyectos%20Planes%20Tematicos/OPREFCJ1/CARBOCOL/MODCARB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PlaneacionIntegral/Bpc/Proyectos%20Planes%20Tematicos/OPREFCJ1/CAFE/MODCAF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Mis%20documentos/DIANA/DIANA/PROCESOS%202014/TITIRIBI/PPTO%20COLECTOR%20ORIENTAL-SEPT%202.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Users/lgallo.CORANTIOQUIA/AppData/Local/Microsoft/Windows/INetCache/Content.Outlook/9BD58X42/COMPARTIDO/ZONA%204/La%20Mina%20Venecia/ALCANTARILLADO/presupuesto%20global%20ministerio/BASE_PPTOS_GOBANT_%2021-04-2014%20(1).xls?6580810D" TargetMode="External"/><Relationship Id="rId1" Type="http://schemas.openxmlformats.org/officeDocument/2006/relationships/externalLinkPath" Target="file:///\\6580810D\BASE_PPTOS_GOBANT_%2021-04-2014%2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C-PROYECTOS12\Altos%20de%20la%20Virgen\Documents%20and%20Settings\molivar\Escritorio\Correccion%20APU&#180;s%20benj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Copia%20de%20Formato%20Tipo%20B%20Formulacion%20subproyectos%20saneamiento%20201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c-cias3\Users\aassa\Desktop\PRESUPUESTO_ALDO_MOMIL_ULTIMO_CONSOLIDAD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windows/TEMP/ADMINISTRATIVA/BAAN/lista%20de%20precios%20definitiva%20sep16-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near19\D\windows\TEMP\ADMINISTRATIVA\BAAN\lista%20de%20precios%20definitiva%20sep16-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compartido/PTAR-SUR-FLORESTA3lps/PRESUPUESTO%20ALCANTARILL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ilsonvega\PMAACAMPAMENTO\CD-CAMPAMENTO\DISE&#209;O\PRESUPUESTOS-DIS\ALCANTARILLADO\Presupuestos%20sistema%20de%20alcantarillado%20(Campament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c-cias21\compartido\Presupuestos\CONSTRUCCION_ALCAN%20MOMIL\PRESUPUESTO_ALDO_MOMIL_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c-cias21\compartido\PTAR%20FINAL\A%20nexo%2010y%2011.%20PPTO%20y%20APU%20PTAR%20%20SUR%20paler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ORLIDIA/IVA/DON%20MATIAS/PRESUPUESTO%20DONMATIAS_JULIO%207__Filtr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COMPARTIDO/Tapa_losa/PTO_%20ACUEDUCTO_%20TAPART&#21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c-cias1\compartido\SANDRA%20DISCO%20C\Obras%202010\San%20Juan%20de%20Uraba\Entrega%20final\PRESUPUESTO%20DEFINITIVO\PRESUPUESTOS%20ALCANTARILLADO_ACTUALIZADO_%20201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c-wvega\PROYECTOS%20EN%20EJECUCION\AAS\BASE\HOJA%20BASE\BASE%20DE%20PRESUPUEST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Documents%20and%20Settings/carenas/Escritorio/PRESUPUESTOS%20%20febr11/Copia%20de%20BASE%20DE%20PRESUPUEST(copi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rlex\Ca&#241;asgordas\Campamento\Presupuesto\DEFINITIVOS\OPTIMIZACI&#211;N%20DE%20LA%20RED%20DE%20DISTRIBUCI&#211;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near9\d\PROYECTOS\CORANTIOQUIA\VENECIA\1.%20DIAGNOSTICO\ALCANTARILLADO\VENECI_AA_D_IN_01%20A%204.2%20RCH%20Alcantarillad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c3\d\PROYECTOS\CARAMANTA\2.%20ANTEPROYECTO\ANEXOS%20AL%20INFORME\CARAMA_AA_D_IN_1_Anexo%20x.xx%20REDES%20DE%20DISTRIBUCI&#211;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blanco3\CONTRATO5\REAJUSTE%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anearpc8\d\PROYECTOS\BUENOS%20AIRES\DISE&#209;O\Dise&#241;o%20hidraulico%20de%20componen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c-cias21\WAAE\PMALCANT-GUAMAL\ETAPA%20DE%20DIAGNOSTICO\INFORMACION%20RECOLECTADA\pmaa%20ituango%20en%20Alfonso%20Rincon%20(Pc-proyectos8)\DISE&#209;O\CANT.%20DE%20OBRA%20Y%20PPTO\ANEXO3_PRESUPUESTO%20ALCANTARILLAD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anear16\d\PROYECTOS\Segovia1\ANTEPROYECTO\Anclajes-segovia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RESIDENTE%20CONST%20SADEP/formularios/A.P.U.%20BAS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ANEAR16\DATOS\PROYECTOS\Nari&#241;o\11.%20A.P.U\A.P.U.%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Users/Sergio/documentos%202013/Documents/Downloads/APUS%20ARAGON%20PARA%20ENVIAR.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Y:\INVPROG\SIS-DA&#209;OS\Acueducto\2000\Sur\Rendimientos_Sur%2012-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anear12\sanear\PROYECTOS\EEPPM_225985\Dise&#241;o\GPZC_%20703\CAMBIO%20DI&#193;METRO\v3\COCACO_A_D_IN_01%20A%20Anteproyecto%20Alcantarill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sgallo\Proyectos%20Sandra%20Gallo\Proyectos%20varios\Valdivia\PRESUPUESTOS%20CORREGIDOS\PRESUPUESTO%20ACT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c-wvega\PROYECTOS%20EN%20EJECUCION\San_Juan_LaMaria\CD%20SAN%20JUAN%20LA%20MARIA\ANEXOS\Anexo%2014_PresupuestoSAN_JUAN_LA_MARIA-MARZ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Desktop/ESTUDIOS%20PREVIOS/PPTO%20MODEL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Users/WINDOW~1/AppData/Local/Temp/Copia%20de%20PPTO%20MODELO-03-03-2016.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Users/lgallo.CORANTIOQUIA/AppData/Local/Microsoft/Windows/INetCache/Content.Outlook/9BD58X42/CONTRATOS%20JAIME/POZOS%202013/PROYECTOS%20SEGUNDO%20SEMESTRE/PROY%20EPM/BELMIRA/Estudios%20Previos%20Convenio%20BELMIRA-STAROSA.xls?B7D9CE25" TargetMode="External"/><Relationship Id="rId1" Type="http://schemas.openxmlformats.org/officeDocument/2006/relationships/externalLinkPath" Target="file:///\\B7D9CE25\Estudios%20Previos%20Convenio%20BELMIRA-STAROS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cias3\AASSA\CONS-044-ALV%20ALTOS%20DE%20LA%20VIRGEN%20SAN%20CRISTOBAL%20MEDELLIN\ETAPAS\3.%20DISE&#209;O\CONS-044-ALV\ALCANTARILLADO\Presupuesto\PPTO_ALCANTARILLADO_san%20jos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PlaneacionIntegral/Bpc/Banco%20de%20Proyectos%202013/Formato%20Unico%20subproyectos%20(en%20construcci&#243;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anear16\d\PERSONALES\FERNANDO\CURSO%20PTAP\PARSHALL%20AMAG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My_Docs/OBRAS/SANTA%20ROSA%20-%20REDES%20ACUEDUCTO/Formatos/PPTO%20OFICIAL%20ACUEDUCTO%20SANTA%20ROS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blanco3\COMPARTIR\PLANOPERATIVO1754\INFORME\INFORME\Tablas%20y%20gr&#225;ficas%201750%2003-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TITIRIB&#205;/PTAR/Anexo_9_Cantid%20Obra,%20APU&#180;s%20%20Ppto%20PT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ORLIDIA/IVA/SANTA%20ROSA/PRESUPUESTO%20SANTA_ROSA%20%20convenio_%2019%20agost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c-cias3\compartido\TAPARTO\PRESUPUESTO%20ACUEDUCTO%20PALERMO%20201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ORLIDIA/CORANTIOQUIA/Procesos%202008/Obra/SANTA%20ROSA/PROYECTO%20PTAR%20EL%20TURCO/PRESUPUESTO%20ALCANTARILLAD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c-cias21\PMAA_META\PMMA_ACACIAS\DIAGNOSTICO\PRIORITARIO\PRECIOS\CANT.%20DE%20OBRA%20Y%20PPTO_PRIORITARIO\PRESUPUESTOS%20ITUANGO\ANEXO%204%20PRESUPUESTO%20ACUEDUCT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orantioquia-my.sharepoint.com/personal/jgalvis_corantioquia_gov_co/Documents/2023/CONTRATACION/110-SUBDIRECCION%20DE%20GESTION%20%20AMBIENTAL/040-COV2211-111/POI%20202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arlo/Desktop/REVISADOS%20EP%20SANEAMIENTO/ANEXO_3_EP_SANEAMIENTO_H&#205;DRICO_RURAL2020_PLANTIL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Mis%20documentos/ORLIDIA/IVA/Pozos%20Maceo/IVA%20Ministrio/Ppto._Sln._Indiv_%2024%20Junio%20_%20Maceo%20(I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gallo.CORANTIOQUIA/AppData/Local/Microsoft/Windows/INetCache/Content.Outlook/9BD58X42/STELLA/CORANTIOQUIA/EVALUACION%20PROYECTOS%20-%202009/CISNEROS/Ppto.%20Sln.%20Indiv.%20Abril%2014%20Tars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BASE CT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T PTAT ARAGÓN"/>
      <sheetName val="ALMACENAMIENTO"/>
      <sheetName val="APU ALMACENAMIENTO"/>
      <sheetName val="REDES"/>
      <sheetName val="APU REDES"/>
      <sheetName val="RESUMEN"/>
    </sheetNames>
    <sheetDataSet>
      <sheetData sheetId="0" refreshError="1"/>
      <sheetData sheetId="1" refreshError="1"/>
      <sheetData sheetId="2">
        <row r="3">
          <cell r="C3">
            <v>0.25</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T PTAT ARAGÓN"/>
      <sheetName val="ALMACENAMIENTO"/>
      <sheetName val="APU ALMACENAMIENTO"/>
      <sheetName val="REDES"/>
      <sheetName val="APU REDES"/>
      <sheetName val="RESUMEN"/>
    </sheetNames>
    <sheetDataSet>
      <sheetData sheetId="0" refreshError="1"/>
      <sheetData sheetId="1" refreshError="1"/>
      <sheetData sheetId="2" refreshError="1">
        <row r="3">
          <cell r="C3">
            <v>0.25</v>
          </cell>
        </row>
        <row r="86">
          <cell r="D86">
            <v>6156.8933333333334</v>
          </cell>
        </row>
        <row r="89">
          <cell r="D89">
            <v>13474.946666666665</v>
          </cell>
        </row>
        <row r="342">
          <cell r="D342">
            <v>73080</v>
          </cell>
        </row>
        <row r="397">
          <cell r="D397">
            <v>295800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 PTAP ARAGÓN"/>
      <sheetName val="ALMACENAMIENTO"/>
      <sheetName val="APU ALMACENAMIENTO"/>
      <sheetName val="REDES"/>
      <sheetName val="APU REDES"/>
      <sheetName val="RESUMEN"/>
    </sheetNames>
    <sheetDataSet>
      <sheetData sheetId="0" refreshError="1"/>
      <sheetData sheetId="1" refreshError="1"/>
      <sheetData sheetId="2" refreshError="1">
        <row r="3">
          <cell r="C3">
            <v>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 PTAP ARAGÓN"/>
      <sheetName val="ALMACENAMIENTO"/>
      <sheetName val="APU ALMACENAMIENTO"/>
      <sheetName val="REDES"/>
      <sheetName val="APU REDES"/>
      <sheetName val="RESUMEN"/>
      <sheetName val="PRESTACIONES"/>
      <sheetName val="BASE_ CONCRETOS"/>
      <sheetName val="1.Tanque Superficial"/>
      <sheetName val="APU Tanque Superficial"/>
      <sheetName val="2. BOMBEO"/>
      <sheetName val="APU BOMBEO"/>
      <sheetName val="CÁLCULOS"/>
      <sheetName val="3. Tanque Almto Elevado"/>
      <sheetName val="APU Tanque Almto Elevado"/>
      <sheetName val="4. PTAP"/>
      <sheetName val="APU PTAP"/>
      <sheetName val="5. Red de Distribucion"/>
      <sheetName val="APUS Red de Distribucion"/>
      <sheetName val="6.PTAP_SistEléctrico"/>
      <sheetName val="APU_SisEléctrico"/>
      <sheetName val="RESUMEN OBRAS "/>
    </sheetNames>
    <sheetDataSet>
      <sheetData sheetId="0" refreshError="1"/>
      <sheetData sheetId="1" refreshError="1"/>
      <sheetData sheetId="2" refreshError="1">
        <row r="3">
          <cell r="C3">
            <v>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REDES VEREDA CAMPO ALEGRE"/>
      <sheetName val="APU VEREDA CAMPO ALEGRE"/>
      <sheetName val="RED MATRIZCAMPOALEGRE"/>
      <sheetName val="APU REDMATRIZCAMPO ALEGRE"/>
      <sheetName val="REDESZONA NORTE1"/>
      <sheetName val="APU REDES ZONANORTE1"/>
      <sheetName val="REDES ZONA NORTE2"/>
      <sheetName val="APU REDESZONANORTE2"/>
      <sheetName val="REDMATRIZ NORTE"/>
      <sheetName val="APU REDMATRIZ NORTE"/>
      <sheetName val="REDES ZONA CENTRO1"/>
      <sheetName val="APU REDES ZONA CENTRO1"/>
      <sheetName val="REDESZONA CENTRO2"/>
      <sheetName val="APU REDES ZONA CENTRO2"/>
      <sheetName val="REDES ZONA CENTRO 3"/>
      <sheetName val="APU REDES ZONA CENTRO 3"/>
      <sheetName val="REDMATRIZ CENTRO"/>
      <sheetName val="APU REDMATRIZCENTRO"/>
      <sheetName val="RESUMEN"/>
      <sheetName val="CRONOGRAMA DE INVERSIONES"/>
    </sheetNames>
    <sheetDataSet>
      <sheetData sheetId="0"/>
      <sheetData sheetId="1"/>
      <sheetData sheetId="2">
        <row r="87">
          <cell r="D87">
            <v>13381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P"/>
      <sheetName val="APU Boc.Aduc.Desa.P"/>
      <sheetName val="LA HERMOSA"/>
      <sheetName val="APU LA HERMOSA"/>
      <sheetName val="PTAP SAN PABLO"/>
      <sheetName val="APU PTAP SAN PABLO"/>
      <sheetName val="PTAP LA HERMOSA  "/>
      <sheetName val="APU PTAP HERMOSA"/>
      <sheetName val="ALCANTARILLADO PTAP"/>
      <sheetName val="APU ALCANTARILLADO PTAP"/>
      <sheetName val="ALMACENAMIENTO"/>
      <sheetName val="APU ALMACENAMIENTO"/>
      <sheetName val="REDES"/>
      <sheetName val="APU REDES"/>
      <sheetName val="RESUMEN"/>
    </sheetNames>
    <sheetDataSet>
      <sheetData sheetId="0" refreshError="1"/>
      <sheetData sheetId="1" refreshError="1"/>
      <sheetData sheetId="2" refreshError="1">
        <row r="12">
          <cell r="D12">
            <v>53912.133000000016</v>
          </cell>
        </row>
        <row r="78">
          <cell r="D78">
            <v>1750</v>
          </cell>
        </row>
        <row r="89">
          <cell r="D89">
            <v>13475</v>
          </cell>
        </row>
        <row r="99">
          <cell r="D99">
            <v>11238</v>
          </cell>
        </row>
        <row r="399">
          <cell r="D399">
            <v>445439.99999999994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sheetName val="BASE_Concretos11"/>
      <sheetName val="APU PTAR "/>
      <sheetName val="PTAR ORIENTAL"/>
      <sheetName val="APU_SisEléctric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BASE CTOS"/>
      <sheetName val="SEPARADORAS"/>
      <sheetName val="RESUMEN GENERAL OBRAS"/>
      <sheetName val="CAPTACIÓN"/>
      <sheetName val="APU CAPTACION"/>
      <sheetName val="DESARENADOR"/>
      <sheetName val="APU DESARENDOR"/>
      <sheetName val="ADUCCION"/>
      <sheetName val="APU ADUCCION"/>
      <sheetName val="POZO "/>
      <sheetName val="APU POZO"/>
      <sheetName val="CASETA"/>
      <sheetName val="APU CASETA"/>
      <sheetName val="SIS. BOMBEO"/>
      <sheetName val="APU SIST BOMBEO"/>
      <sheetName val="SIS. ELECTRICO"/>
      <sheetName val="APU SIS. ELECTRICO"/>
      <sheetName val="AIU"/>
      <sheetName val="CALCULO PRESTACIONES"/>
      <sheetName val="PRESTA"/>
      <sheetName val="RESUMEN OBRAS ACUEDUCTO"/>
      <sheetName val="CAPTACIÓN Y DESARENADOR"/>
      <sheetName val="APU CAPTACION-DESARENADOR"/>
      <sheetName val="ADUCCIÓN "/>
      <sheetName val="APU Aducción"/>
      <sheetName val="PTAP"/>
      <sheetName val="APU PTAP"/>
      <sheetName val="TANQUE 130 "/>
      <sheetName val="APU TANQUE"/>
      <sheetName val="REDES"/>
      <sheetName val="APU Re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toma.Aduc.Desa."/>
      <sheetName val="APU Boc.Aduc.Desa.P"/>
      <sheetName val="LA HERMOSA"/>
      <sheetName val="APU LA HERMOSA"/>
      <sheetName val="PTAP SAN PABLO"/>
      <sheetName val="APU PTAP SAN PABLO"/>
      <sheetName val="PTAP LA HERMOSA  "/>
      <sheetName val="APU PTAP HERMOSA"/>
      <sheetName val="ALCANTARILLADO PTAP"/>
      <sheetName val="APU ALCANTARILLADO PTAP"/>
      <sheetName val="ALMACENAMIENTO"/>
      <sheetName val="APU ALMACENAMIENTO"/>
      <sheetName val="APU REDES"/>
      <sheetName val="REDES"/>
      <sheetName val="RESUMEN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ON "/>
      <sheetName val="APUT PTAT ARAGÓN"/>
      <sheetName val="ALMACENAMIENTO"/>
      <sheetName val="APU ALMACENAMIENTO"/>
      <sheetName val="REDES"/>
      <sheetName val="APU REDES"/>
      <sheetName val="RESUMEN"/>
    </sheetNames>
    <sheetDataSet>
      <sheetData sheetId="0" refreshError="1"/>
      <sheetData sheetId="1" refreshError="1"/>
      <sheetData sheetId="2" refreshError="1">
        <row r="342">
          <cell r="D342">
            <v>73080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COSTOS"/>
      <sheetName val="Presupuesto Támesis"/>
      <sheetName val="IVA"/>
      <sheetName val="A.P.U."/>
      <sheetName val="BASE SALARIOS"/>
      <sheetName val="FORMATO_Tamesi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Presupuesto Tarzo"/>
      <sheetName val="APU SOL IND"/>
      <sheetName val="BASE"/>
      <sheetName val="BASE CTOS"/>
      <sheetName val="BASE ORIGINAL"/>
      <sheetName val="interv. pozos tarso"/>
      <sheetName val="RESUMEN COSTOS (2)"/>
      <sheetName val="Hoja1"/>
      <sheetName val="Hoja2"/>
      <sheetName val="Hoja3"/>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definición del subproyecto"/>
      <sheetName val="1. Solicitud iniciativa ext"/>
      <sheetName val="1. Solicitud iniciativa int "/>
      <sheetName val="2. Identificación"/>
      <sheetName val="3. Preparación"/>
      <sheetName val="4. Est. Previos Contratación"/>
      <sheetName val="5. Est. Previos Prest. Servicio"/>
      <sheetName val="6. Producto (POI)"/>
      <sheetName val="7. Memoria de Calculo"/>
      <sheetName val="Anexo 1 Subp. Saneam-Consult"/>
      <sheetName val="Anexo 2 S. Saneamiento-Obra"/>
      <sheetName val="Anexo 3. Ppto Obra Saneamiento"/>
      <sheetName val="Anexo 4. A.P.U Obra."/>
      <sheetName val="Anexo 5. Ppto. Consultoria"/>
      <sheetName val="mapa POMCH"/>
      <sheetName val="listado proyectos POMCH"/>
      <sheetName val="mapa DMI_RFP"/>
      <sheetName val="Listado proyectos DMI-RFP"/>
      <sheetName val="Clas_Mano de Obra"/>
      <sheetName val="mapa ZON_AMB"/>
      <sheetName val="mapa ZSH"/>
      <sheetName val="base de datos"/>
      <sheetName val="Tramites_ambiental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SEG99"/>
      <sheetName val="RESU99"/>
      <sheetName val="SEG2000"/>
      <sheetName val="RESU2000"/>
      <sheetName val="C1-3vig97-00"/>
      <sheetName val="C1-3vIg98-00"/>
      <sheetName val="chequeo99"/>
      <sheetName val="plano-mensaje"/>
      <sheetName val="C1-3men"/>
      <sheetName val="DIFERENCIAS SIMUL"/>
      <sheetName val="Plan Ejecución-ORI"/>
      <sheetName val="Plan ejecución Modificado"/>
      <sheetName val="PRESUPUESTO ORI"/>
      <sheetName val="PRESUPUESTO MOD"/>
      <sheetName val="INTERVENTORIA"/>
      <sheetName val="memoria imagen Corporat"/>
      <sheetName val="memoria Viaticos Interv"/>
      <sheetName val="M DE C PTAR"/>
      <sheetName val="MDEC BOMBEO PTAR"/>
      <sheetName val="MDEC COLECTOR"/>
      <sheetName val="RESUMEN OBRAS"/>
      <sheetName val="AIU"/>
      <sheetName val="PRESTA"/>
      <sheetName val="PRELIM"/>
      <sheetName val="TUBERIA"/>
      <sheetName val="EXCAVA"/>
      <sheetName val="APU COLECTOR-NORTE"/>
      <sheetName val="APU COLECTOR-SUR"/>
      <sheetName val="APU Redes Secundarias  NORTE"/>
      <sheetName val="APU Redes Secundarias  SUR"/>
      <sheetName val="APU DOMICILIARES"/>
      <sheetName val="MDEC ADICIÓN"/>
      <sheetName val="Cantidades IVA"/>
      <sheetName val="APU COL"/>
      <sheetName val="PRESTACIONES"/>
      <sheetName val="FORMULARIO AIU"/>
      <sheetName val="APU CONCRETOS"/>
      <sheetName val="PRESUPUESTO PM ACUEDUCTO"/>
      <sheetName val="APU"/>
      <sheetName val="APU ACUEDUCTO"/>
      <sheetName val="TANQUE 120m3"/>
      <sheetName val="APU TANQUE 120 m3"/>
      <sheetName val="REDES DE DISTRUBICÓN"/>
      <sheetName val="APU REDES DISTRIBUCIÓN"/>
      <sheetName val="RESUMEN OBRAS "/>
      <sheetName val="COLECTOR-NORTE"/>
      <sheetName val="COLECTOR-SUR"/>
      <sheetName val="REDES SECUND NORTE"/>
      <sheetName val="REDES SECUND SUR"/>
      <sheetName val="DOMICILIARES"/>
      <sheetName val="PRESUPUESTO P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REDES 441.2"/>
      <sheetName val="REDES 313.2"/>
      <sheetName val="APU REDES"/>
      <sheetName val="BASE"/>
      <sheetName val="BASE CTOS"/>
      <sheetName val="RESUMEN DE OBRAS"/>
      <sheetName val="IMPACTO"/>
      <sheetName val="APU Bocatoma.Aduc.Desarenador"/>
      <sheetName val="Boc.Aduc.Desarenador"/>
      <sheetName val="APU Aduc.Tanque Succión"/>
      <sheetName val="Aduc.Tanque Succión"/>
      <sheetName val="APU Sistema de Bombeo"/>
      <sheetName val="Sistema de Bombeo"/>
      <sheetName val="APU PTAP"/>
      <sheetName val="PTAP"/>
      <sheetName val="APU Conducción"/>
      <sheetName val="Conduccion"/>
      <sheetName val="APU Tanque Almacenamiento"/>
      <sheetName val="Tanque almacenamiento"/>
      <sheetName val="Redes"/>
      <sheetName val="RESUMEN OBRAS"/>
      <sheetName val="PRESTACIONES"/>
      <sheetName val="BASE_ CONCRETOS"/>
      <sheetName val="1. Bombeo Agua Cruda"/>
      <sheetName val="APU Bombeo Agua Cruda"/>
      <sheetName val=" Tanque "/>
      <sheetName val="APUS Tanque "/>
      <sheetName val="1.Tanque Superficial"/>
      <sheetName val="APU Tanque Superficial"/>
      <sheetName val="2. BOMBEO"/>
      <sheetName val="APU BOMBEO"/>
      <sheetName val="3. Tanque Almto Elevado"/>
      <sheetName val="APU Tanque Almto Elevado"/>
      <sheetName val="CÁLCULOS"/>
      <sheetName val="4. PTAP"/>
      <sheetName val="4. PTAP 10 LS"/>
      <sheetName val="APU PTAP 10L"/>
      <sheetName val="5. Red de Distribucion"/>
      <sheetName val="APUS Red de Distribucion"/>
      <sheetName val="RESUMEN OBRAS "/>
      <sheetName val="Red de distribución"/>
      <sheetName val="APU red Distribucion"/>
    </sheetNames>
    <sheetDataSet>
      <sheetData sheetId="0" refreshError="1"/>
      <sheetData sheetId="1" refreshError="1"/>
      <sheetData sheetId="2" refreshError="1"/>
      <sheetData sheetId="3" refreshError="1"/>
      <sheetData sheetId="4" refreshError="1"/>
      <sheetData sheetId="5" refreshError="1">
        <row r="493">
          <cell r="D493">
            <v>145000</v>
          </cell>
        </row>
      </sheetData>
      <sheetData sheetId="6" refreshError="1"/>
      <sheetData sheetId="7" refreshError="1"/>
      <sheetData sheetId="8"/>
      <sheetData sheetId="9"/>
      <sheetData sheetId="10"/>
      <sheetData sheetId="11"/>
      <sheetData sheetId="12"/>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T PTAT ARAGÓN"/>
      <sheetName val="ALMACENAMIENTO"/>
      <sheetName val="APU ALMACENAMIENTO"/>
      <sheetName val="REDES"/>
      <sheetName val="APU REDES"/>
      <sheetName val="RESUMEN"/>
    </sheetNames>
    <sheetDataSet>
      <sheetData sheetId="0" refreshError="1"/>
      <sheetData sheetId="1" refreshError="1"/>
      <sheetData sheetId="2" refreshError="1">
        <row r="75">
          <cell r="D75">
            <v>1245</v>
          </cell>
        </row>
        <row r="158">
          <cell r="D158">
            <v>12242.64</v>
          </cell>
        </row>
        <row r="187">
          <cell r="D187">
            <v>41891.079999999994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sheetName val="BASE_Concretos11"/>
      <sheetName val="APU PTAR "/>
      <sheetName val="PTAR PPAL"/>
      <sheetName val="PTAR COLEGIO"/>
      <sheetName val="PTAR CANCHA"/>
      <sheetName val="APU_SisEléctrico"/>
      <sheetName val="RESUMEN PTA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BASE"/>
      <sheetName val="BASE CTOS"/>
      <sheetName val="MICROCUENCA"/>
      <sheetName val="APU MICROCUENCA"/>
      <sheetName val="Bocatoma.Aduc.Desa."/>
      <sheetName val="APU Boc.Aduc.Desa.P"/>
      <sheetName val="LA HERMOSA"/>
      <sheetName val="APU LA HERMOSA"/>
      <sheetName val="PTAP SAN PABLO"/>
      <sheetName val="APU PTAP SAN PABLO"/>
      <sheetName val="PTAP LA HERMOSA  "/>
      <sheetName val="APU PTAP HERMOSA"/>
      <sheetName val="ALCANTARILLADO PTAP"/>
      <sheetName val="APU ALCANTARILLADO PTAP"/>
      <sheetName val="ALMACENAMIENTO"/>
      <sheetName val="APU ALMACENAMIENTO"/>
      <sheetName val="APU REDES"/>
      <sheetName val="REDES"/>
      <sheetName val="RESUMEN FINAL"/>
    </sheetNames>
    <sheetDataSet>
      <sheetData sheetId="0" refreshError="1"/>
      <sheetData sheetId="1" refreshError="1"/>
      <sheetData sheetId="2" refreshError="1">
        <row r="61">
          <cell r="D61">
            <v>56400</v>
          </cell>
        </row>
        <row r="89">
          <cell r="D89">
            <v>13475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BASE CT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sheetName val="APU CONCRETOS"/>
      <sheetName val="PRESUPUESTO"/>
      <sheetName val="APU´S"/>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Hoja1"/>
      <sheetName val="PrecRec"/>
      <sheetName val="32"/>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3">
          <cell r="E13">
            <v>2</v>
          </cell>
        </row>
        <row r="15">
          <cell r="E15">
            <v>6</v>
          </cell>
        </row>
        <row r="19">
          <cell r="E19">
            <v>3.38</v>
          </cell>
        </row>
        <row r="21">
          <cell r="E21">
            <v>1</v>
          </cell>
        </row>
        <row r="23">
          <cell r="E23">
            <v>1</v>
          </cell>
        </row>
        <row r="25">
          <cell r="E25">
            <v>4.6399999999999997</v>
          </cell>
        </row>
        <row r="27">
          <cell r="E27">
            <v>11</v>
          </cell>
        </row>
        <row r="29">
          <cell r="E29">
            <v>6.5</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69">
          <cell r="E69">
            <v>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1">
          <cell r="E101">
            <v>2</v>
          </cell>
        </row>
        <row r="107">
          <cell r="E107">
            <v>6.72</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15</v>
          </cell>
        </row>
        <row r="157">
          <cell r="E157">
            <v>20</v>
          </cell>
        </row>
        <row r="159">
          <cell r="E159">
            <v>2</v>
          </cell>
        </row>
        <row r="161">
          <cell r="E161">
            <v>5</v>
          </cell>
        </row>
        <row r="163">
          <cell r="E163">
            <v>2</v>
          </cell>
        </row>
        <row r="165">
          <cell r="E165">
            <v>13</v>
          </cell>
        </row>
        <row r="171">
          <cell r="E171">
            <v>24</v>
          </cell>
        </row>
        <row r="175">
          <cell r="E175">
            <v>4</v>
          </cell>
        </row>
        <row r="177">
          <cell r="E177">
            <v>6</v>
          </cell>
        </row>
        <row r="179">
          <cell r="E179">
            <v>2</v>
          </cell>
        </row>
        <row r="193">
          <cell r="E193">
            <v>4</v>
          </cell>
        </row>
        <row r="195">
          <cell r="E195">
            <v>4</v>
          </cell>
        </row>
        <row r="197">
          <cell r="E197">
            <v>5</v>
          </cell>
        </row>
        <row r="209">
          <cell r="E209">
            <v>6</v>
          </cell>
        </row>
        <row r="211">
          <cell r="E211">
            <v>4</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426</v>
          </cell>
        </row>
        <row r="424">
          <cell r="E424">
            <v>4</v>
          </cell>
        </row>
        <row r="432">
          <cell r="E432">
            <v>1</v>
          </cell>
        </row>
        <row r="434">
          <cell r="E434">
            <v>2</v>
          </cell>
        </row>
        <row r="450">
          <cell r="E450">
            <v>1723.2</v>
          </cell>
        </row>
        <row r="452">
          <cell r="E452">
            <v>951.3</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25">
          <cell r="E25">
            <v>4.6399999999999997</v>
          </cell>
        </row>
        <row r="27">
          <cell r="E27">
            <v>11</v>
          </cell>
        </row>
        <row r="29">
          <cell r="E29">
            <v>6.5</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79">
          <cell r="E79">
            <v>5</v>
          </cell>
        </row>
        <row r="83">
          <cell r="E83">
            <v>5</v>
          </cell>
        </row>
        <row r="85">
          <cell r="E85">
            <v>23</v>
          </cell>
        </row>
        <row r="89">
          <cell r="E89">
            <v>2.74</v>
          </cell>
        </row>
        <row r="99">
          <cell r="E99">
            <v>19.84</v>
          </cell>
        </row>
        <row r="101">
          <cell r="E101">
            <v>1</v>
          </cell>
        </row>
        <row r="107">
          <cell r="E107">
            <v>10.08</v>
          </cell>
        </row>
        <row r="123">
          <cell r="E123">
            <v>0</v>
          </cell>
        </row>
        <row r="124">
          <cell r="E124">
            <v>0</v>
          </cell>
        </row>
        <row r="125">
          <cell r="E125">
            <v>0</v>
          </cell>
        </row>
        <row r="126">
          <cell r="E126">
            <v>0</v>
          </cell>
        </row>
        <row r="127">
          <cell r="E127">
            <v>420</v>
          </cell>
        </row>
        <row r="141">
          <cell r="E141">
            <v>98</v>
          </cell>
        </row>
        <row r="143">
          <cell r="E143">
            <v>310</v>
          </cell>
        </row>
        <row r="153">
          <cell r="E153">
            <v>3</v>
          </cell>
        </row>
        <row r="155">
          <cell r="E155">
            <v>15</v>
          </cell>
        </row>
        <row r="157">
          <cell r="E157">
            <v>19</v>
          </cell>
        </row>
        <row r="159">
          <cell r="E159">
            <v>2</v>
          </cell>
        </row>
        <row r="161">
          <cell r="E161">
            <v>5</v>
          </cell>
        </row>
        <row r="163">
          <cell r="E163">
            <v>2</v>
          </cell>
        </row>
        <row r="165">
          <cell r="E165">
            <v>10</v>
          </cell>
        </row>
        <row r="171">
          <cell r="E171">
            <v>12</v>
          </cell>
        </row>
        <row r="175">
          <cell r="E175">
            <v>2</v>
          </cell>
        </row>
        <row r="177">
          <cell r="E177">
            <v>4</v>
          </cell>
        </row>
        <row r="179">
          <cell r="E179">
            <v>2</v>
          </cell>
        </row>
        <row r="193">
          <cell r="E193">
            <v>4</v>
          </cell>
        </row>
        <row r="195">
          <cell r="E195">
            <v>4</v>
          </cell>
        </row>
        <row r="197">
          <cell r="E197">
            <v>4</v>
          </cell>
        </row>
        <row r="209">
          <cell r="E209">
            <v>2</v>
          </cell>
        </row>
        <row r="211">
          <cell r="E211">
            <v>4</v>
          </cell>
        </row>
        <row r="213">
          <cell r="E213">
            <v>2</v>
          </cell>
        </row>
        <row r="217">
          <cell r="E217">
            <v>2</v>
          </cell>
        </row>
        <row r="219">
          <cell r="E219">
            <v>4</v>
          </cell>
        </row>
        <row r="225">
          <cell r="E225">
            <v>2</v>
          </cell>
        </row>
        <row r="233">
          <cell r="E233">
            <v>2</v>
          </cell>
        </row>
        <row r="263">
          <cell r="E263">
            <v>1</v>
          </cell>
        </row>
        <row r="267">
          <cell r="E267">
            <v>3</v>
          </cell>
        </row>
        <row r="269">
          <cell r="E269">
            <v>1</v>
          </cell>
        </row>
        <row r="273">
          <cell r="E273">
            <v>1</v>
          </cell>
        </row>
        <row r="294">
          <cell r="E294">
            <v>4</v>
          </cell>
        </row>
        <row r="296">
          <cell r="E296">
            <v>4</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165</v>
          </cell>
        </row>
        <row r="424">
          <cell r="E424">
            <v>2</v>
          </cell>
        </row>
        <row r="432">
          <cell r="E432">
            <v>1</v>
          </cell>
        </row>
        <row r="434">
          <cell r="E434">
            <v>2</v>
          </cell>
        </row>
        <row r="450">
          <cell r="E450">
            <v>3438.1</v>
          </cell>
        </row>
        <row r="452">
          <cell r="E452">
            <v>167.4</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ow r="5">
          <cell r="E5" t="str">
            <v>CANTIDAD</v>
          </cell>
        </row>
      </sheetData>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 FORMULARIO AIU"/>
      <sheetName val="8.2 PRESTACIONES"/>
      <sheetName val="8.2 BASE"/>
      <sheetName val="8.2 APACONCRETOS"/>
      <sheetName val="8.3 PRESUPUESTO"/>
      <sheetName val="8.4 APU´S"/>
      <sheetName val="TANQUE 120m3"/>
      <sheetName val="APU TANQUE 120 m3"/>
      <sheetName val="REDES DE DISTRUBICÓN"/>
      <sheetName val="APU REDES DISTRIBUCIÓN"/>
      <sheetName val="RESUMEN OBRAS "/>
      <sheetName val="8.5 RESUMEN"/>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 FORMULARIO AIU"/>
      <sheetName val="8.2 PRESTACIONES"/>
      <sheetName val="8.2 BASE"/>
      <sheetName val="8.2 APACONCRETOS"/>
      <sheetName val="8.3 PRESUPUESTO"/>
      <sheetName val="8.4 APU´S"/>
      <sheetName val="TANQUE 120m3"/>
      <sheetName val="APU TANQUE 120 m3"/>
      <sheetName val="REDES DE DISTRUBICÓN"/>
      <sheetName val="APU REDES DISTRIBUCIÓN"/>
      <sheetName val="RESUMEN OBRAS "/>
      <sheetName val="8.5 RESUMEN"/>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CIONES"/>
      <sheetName val="FORMULARIO AIU"/>
      <sheetName val="BASE"/>
      <sheetName val="APU CONCRETOS"/>
      <sheetName val="APU ALCANTARILLADO"/>
      <sheetName val="CANTIDAD DE OBRA RESIDUAL"/>
      <sheetName val="APU ALCANT"/>
      <sheetName val="PRPTO ALCANTARILLADO"/>
      <sheetName val="PRESUPUESTO"/>
      <sheetName val="TANQUE 120m3"/>
      <sheetName val="APU TANQUE 120 m3"/>
      <sheetName val="REDES DE DISTRUBICÓN"/>
      <sheetName val="APU REDES DISTRIBUCIÓN"/>
      <sheetName val="RESUMEN OBRAS "/>
      <sheetName val="PRESUPUESTO ALDO RESIDUAL"/>
      <sheetName val="Hoja1"/>
      <sheetName val="Hoja2"/>
      <sheetName val="CANTIDAD DE OBRA LLUVIAS"/>
      <sheetName val="PRESUPUESTOS ALDO LLUVIAS"/>
      <sheetName val="RESUMEN DE 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BASE CTOS"/>
      <sheetName val="SEPARADORAS"/>
      <sheetName val="RESUMEN GENERAL OBRAS"/>
      <sheetName val="CAPTACIÓN"/>
      <sheetName val="APU CAPTACION"/>
      <sheetName val="DESARENADOR"/>
      <sheetName val="APU DESARENDOR"/>
      <sheetName val="ADUCCION"/>
      <sheetName val="APU ADUCCION"/>
      <sheetName val="POZO "/>
      <sheetName val="APU POZO"/>
      <sheetName val="CASETA"/>
      <sheetName val="APU CASETA"/>
      <sheetName val="SIS. BOMBEO"/>
      <sheetName val="APU SIST BOMBEO"/>
      <sheetName val="SIS. ELECTRICO"/>
      <sheetName val="APU SIS. ELECTRICO"/>
      <sheetName val="FORMULARIO AIU"/>
      <sheetName val="PRESTA"/>
      <sheetName val="1. SISTEMA  MEDIA FALDA"/>
      <sheetName val="2. SISTEMA LOS GILES"/>
      <sheetName val="3. SISTEMA BATEA MOJADA"/>
      <sheetName val="4.PTAP "/>
      <sheetName val="5. TANQUE 300"/>
      <sheetName val="6. TANQUE 50"/>
      <sheetName val="7. OPTIM TANQUES"/>
      <sheetName val="8. REDES"/>
      <sheetName val="9. MICROCUENCAS"/>
      <sheetName val="APU MED FALD,  PLANTA, TANQUES "/>
      <sheetName val="APU LOS GILES"/>
      <sheetName val="APU BATEA MOJADA"/>
      <sheetName val="APU REDES"/>
      <sheetName val="APU MICRO"/>
      <sheetName val="RESUMEN OBRAS"/>
      <sheetName val="resumen"/>
      <sheetName val="1. bocatoma la trinidad"/>
      <sheetName val=" BOCATOMA TRINIDAD"/>
      <sheetName val="2. BOCATOMA TIRANA"/>
      <sheetName val="3. DESARENADOR"/>
      <sheetName val="4. ADUCCION"/>
      <sheetName val="5. REDES"/>
      <sheetName val="listado de apu"/>
      <sheetName val="AIU"/>
      <sheetName val="1__bocatoma_la_trinidad"/>
      <sheetName val="_BOCATOMA_TRINIDAD"/>
      <sheetName val="2__BOCATOMA_TIRANA"/>
      <sheetName val="3__DESARENADOR"/>
      <sheetName val="4__ADUCCION"/>
      <sheetName val="5__REDES"/>
      <sheetName val="listado_de_apu"/>
      <sheetName val="BASE_CTOS"/>
      <sheetName val="RESUMEN_GENERAL_OBRAS"/>
      <sheetName val="APU_CAPTACION"/>
      <sheetName val="APU_DESARENDOR"/>
      <sheetName val="1__bocatoma_la_trinidad2"/>
      <sheetName val="_BOCATOMA_TRINIDAD2"/>
      <sheetName val="2__BOCATOMA_TIRANA2"/>
      <sheetName val="3__DESARENADOR2"/>
      <sheetName val="4__ADUCCION2"/>
      <sheetName val="5__REDES2"/>
      <sheetName val="listado_de_apu2"/>
      <sheetName val="BASE_CTOS2"/>
      <sheetName val="RESUMEN_GENERAL_OBRAS2"/>
      <sheetName val="APU_CAPTACION2"/>
      <sheetName val="APU_DESARENDOR2"/>
      <sheetName val="1__bocatoma_la_trinidad1"/>
      <sheetName val="_BOCATOMA_TRINIDAD1"/>
      <sheetName val="2__BOCATOMA_TIRANA1"/>
      <sheetName val="3__DESARENADOR1"/>
      <sheetName val="4__ADUCCION1"/>
      <sheetName val="5__REDES1"/>
      <sheetName val="listado_de_apu1"/>
      <sheetName val="BASE_CTOS1"/>
      <sheetName val="RESUMEN_GENERAL_OBRAS1"/>
      <sheetName val="APU_CAPTACION1"/>
      <sheetName val="APU_DESARENDOR1"/>
      <sheetName val="APU_ADUCCION2"/>
      <sheetName val="POZO_2"/>
      <sheetName val="APU_POZO2"/>
      <sheetName val="APU_CASETA2"/>
      <sheetName val="SIS__BOMBEO2"/>
      <sheetName val="APU_SIST_BOMBEO2"/>
      <sheetName val="SIS__ELECTRICO2"/>
      <sheetName val="APU_SIS__ELECTRICO2"/>
      <sheetName val="APU_ADUCCION"/>
      <sheetName val="POZO_"/>
      <sheetName val="APU_POZO"/>
      <sheetName val="APU_CASETA"/>
      <sheetName val="SIS__BOMBEO"/>
      <sheetName val="APU_SIST_BOMBEO"/>
      <sheetName val="SIS__ELECTRICO"/>
      <sheetName val="APU_SIS__ELECTRICO"/>
      <sheetName val="APU_ADUCCION1"/>
      <sheetName val="POZO_1"/>
      <sheetName val="APU_POZO1"/>
      <sheetName val="APU_CASETA1"/>
      <sheetName val="SIS__BOMBEO1"/>
      <sheetName val="APU_SIST_BOMBEO1"/>
      <sheetName val="SIS__ELECTRICO1"/>
      <sheetName val="APU_SIS__ELECTRICO1"/>
    </sheetNames>
    <sheetDataSet>
      <sheetData sheetId="0" refreshError="1">
        <row r="5">
          <cell r="C5">
            <v>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CIONES"/>
      <sheetName val="FORMULARIO AIU"/>
      <sheetName val="BASE"/>
      <sheetName val="APU CONCRETOS"/>
      <sheetName val="APU ALCANT"/>
      <sheetName val="PRPTO ALCANTARILLADO"/>
      <sheetName val="PRESUPUESTO"/>
      <sheetName val="TANQUE 120m3"/>
      <sheetName val="APU TANQUE 120 m3"/>
      <sheetName val="REDES DE DISTRUBICÓN"/>
      <sheetName val="APU REDES DISTRIBUCIÓN"/>
      <sheetName val="RESUMEN OBRAS "/>
      <sheetName val="CANTIDADES"/>
      <sheetName val="APU ALCANTARILLADO"/>
      <sheetName val="PRESUPUESTO ALDO ORIENCOMBINAD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CIONES"/>
      <sheetName val="BASE"/>
      <sheetName val="APU CONCRETOS"/>
      <sheetName val="APU´S"/>
      <sheetName val="PRESUPUESTO"/>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
      <sheetName val="REDES"/>
      <sheetName val="APU REDES"/>
      <sheetName val="BASE"/>
      <sheetName val="BASE CTOS"/>
      <sheetName val="RESUMEN DE OBRAS"/>
    </sheetNames>
    <sheetDataSet>
      <sheetData sheetId="0" refreshError="1"/>
      <sheetData sheetId="1" refreshError="1"/>
      <sheetData sheetId="2" refreshError="1"/>
      <sheetData sheetId="3" refreshError="1"/>
      <sheetData sheetId="4" refreshError="1">
        <row r="8">
          <cell r="D8">
            <v>0.66280000000000006</v>
          </cell>
        </row>
      </sheetData>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olicitud"/>
      <sheetName val="Identificación"/>
      <sheetName val="Preparación"/>
      <sheetName val="Costo acueducto"/>
      <sheetName val="Costo de alcantarillado"/>
      <sheetName val="flujo de caja"/>
      <sheetName val="PRODUCTO-ACTIVIDAD"/>
      <sheetName val="MEMORIACALCUL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CTOS"/>
      <sheetName val="BASE"/>
      <sheetName val="PRESUP. COLECTOR PPAL"/>
      <sheetName val="APU COLECTOR PPAL"/>
      <sheetName val="PRESUP. INTERCEPTOR"/>
      <sheetName val="APU INTERCEPTOR"/>
      <sheetName val="PRESUP. TRAMOS OPTIMIZADOS"/>
      <sheetName val="APU TRAMOS OPTIMIZADOS"/>
      <sheetName val="PRESUP. TRAMOS PROYECTADOS"/>
      <sheetName val="APU TRAMOS PROYECTADOS"/>
      <sheetName val="PRESUP. TRAMOS PROY ZONA INUNDA"/>
      <sheetName val="APU TRAMOS PROY ZONA INUNDA"/>
      <sheetName val="PRESUP. IMPULSIÓN"/>
      <sheetName val="APU IMPULSIÓN"/>
      <sheetName val="PRESUP. OBRAS EBAR"/>
      <sheetName val="APU OBRAS EBAR"/>
      <sheetName val="ESTACION ELEVADORA"/>
      <sheetName val="APU ESTACION ELEVADORA"/>
      <sheetName val="ESTACION ELEVADORA ZONA INUNDA."/>
      <sheetName val="APU ESTACION ELEVADORA INUNDA"/>
      <sheetName val="LAGUNA DE OXIDACIÓN"/>
      <sheetName val="APU LAGUNA DE OXIDACIÓN"/>
      <sheetName val="RESUMEN DE OBRAS"/>
      <sheetName val="CONSOLIDADO"/>
    </sheetNames>
    <sheetDataSet>
      <sheetData sheetId="0" refreshError="1">
        <row r="38">
          <cell r="C38">
            <v>0.15000000000000002</v>
          </cell>
        </row>
      </sheetData>
      <sheetData sheetId="1" refreshError="1"/>
      <sheetData sheetId="2" refreshError="1"/>
      <sheetData sheetId="3" refreshError="1">
        <row r="42">
          <cell r="D42">
            <v>491290.48387250002</v>
          </cell>
        </row>
        <row r="504">
          <cell r="D504">
            <v>31900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ión"/>
      <sheetName val="Sanitaria"/>
      <sheetName val="CPVC"/>
      <sheetName val="CANALES"/>
      <sheetName val="Conduit"/>
      <sheetName val="Union-Z"/>
      <sheetName val="NOVAFORT"/>
      <sheetName val="Alcantarillado"/>
      <sheetName val="Cobre"/>
      <sheetName val="Galvanizado"/>
      <sheetName val="PRES.AGRI"/>
      <sheetName val="CORR.DREN"/>
      <sheetName val="POZOS."/>
      <sheetName val="RIEGO-CONDUCC."/>
      <sheetName val="RIEGO MOVIL"/>
      <sheetName val="GEOMECANICO"/>
      <sheetName val="POLIETILENO "/>
      <sheetName val="GAS "/>
      <sheetName val="REFERENCIAS BANN"/>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ión"/>
      <sheetName val="Sanitaria"/>
      <sheetName val="CPVC"/>
      <sheetName val="CANALES"/>
      <sheetName val="Conduit"/>
      <sheetName val="Union-Z"/>
      <sheetName val="NOVAFORT"/>
      <sheetName val="Alcantarillado"/>
      <sheetName val="Cobre"/>
      <sheetName val="Galvanizado"/>
      <sheetName val="PRES.AGRI"/>
      <sheetName val="CORR.DREN"/>
      <sheetName val="POZOS."/>
      <sheetName val="RIEGO-CONDUCC."/>
      <sheetName val="RIEGO MOVIL"/>
      <sheetName val="GEOMECANICO"/>
      <sheetName val="POLIETILENO "/>
      <sheetName val="GAS "/>
      <sheetName val="REFERENCIAS BA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Sistema de Tubería y Accesorios</v>
          </cell>
        </row>
        <row r="2">
          <cell r="B2" t="str">
            <v>Presión Uso Agricola PAVCO</v>
          </cell>
        </row>
        <row r="3">
          <cell r="B3" t="str">
            <v>Lista de Precios</v>
          </cell>
        </row>
        <row r="5">
          <cell r="B5">
            <v>1</v>
          </cell>
        </row>
        <row r="6">
          <cell r="B6" t="str">
            <v>PRECIOS: NO INCLUYEN I.V.A.</v>
          </cell>
          <cell r="I6" t="str">
            <v>FECHA:</v>
          </cell>
          <cell r="J6" t="str">
            <v>Septiembre 1 de 1998</v>
          </cell>
        </row>
        <row r="9">
          <cell r="B9" t="str">
            <v>Tuberías</v>
          </cell>
          <cell r="D9" t="str">
            <v>Referencia</v>
          </cell>
          <cell r="E9" t="str">
            <v>Diámetro</v>
          </cell>
          <cell r="F9" t="str">
            <v>Precio por Metro</v>
          </cell>
        </row>
        <row r="10">
          <cell r="B10" t="str">
            <v>Tramos de 6 metros</v>
          </cell>
        </row>
        <row r="11">
          <cell r="B11" t="str">
            <v>Extremos lisos</v>
          </cell>
        </row>
        <row r="12">
          <cell r="B12" t="str">
            <v>RDE   Presión de</v>
          </cell>
        </row>
        <row r="13">
          <cell r="B13" t="str">
            <v xml:space="preserve">      trabajo a</v>
          </cell>
        </row>
        <row r="14">
          <cell r="B14" t="str">
            <v xml:space="preserve">      23°C psi</v>
          </cell>
        </row>
        <row r="15">
          <cell r="B15" t="str">
            <v>21    200</v>
          </cell>
          <cell r="D15" t="str">
            <v>0150201001</v>
          </cell>
          <cell r="E15" t="str">
            <v>1/2</v>
          </cell>
          <cell r="F15" t="str">
            <v>$</v>
          </cell>
          <cell r="G15">
            <v>602.85714285714289</v>
          </cell>
        </row>
        <row r="16">
          <cell r="B16" t="str">
            <v>26    160</v>
          </cell>
          <cell r="D16" t="str">
            <v>0150301001</v>
          </cell>
          <cell r="E16" t="str">
            <v>3/4</v>
          </cell>
          <cell r="F16" t="str">
            <v>$</v>
          </cell>
          <cell r="G16">
            <v>765.71428571428578</v>
          </cell>
        </row>
        <row r="17">
          <cell r="D17" t="str">
            <v>0150401001</v>
          </cell>
          <cell r="E17" t="str">
            <v>1</v>
          </cell>
          <cell r="G17">
            <v>1088.5714285714287</v>
          </cell>
        </row>
        <row r="18">
          <cell r="D18" t="str">
            <v>0150501001</v>
          </cell>
          <cell r="E18" t="str">
            <v>1-1/4</v>
          </cell>
          <cell r="G18">
            <v>1588.5714285714287</v>
          </cell>
        </row>
        <row r="19">
          <cell r="D19" t="str">
            <v>0150601001</v>
          </cell>
          <cell r="E19" t="str">
            <v>1-1/2</v>
          </cell>
          <cell r="G19">
            <v>2017.1428571428573</v>
          </cell>
        </row>
        <row r="21">
          <cell r="B21" t="str">
            <v>Tuberías</v>
          </cell>
          <cell r="D21" t="str">
            <v>Referencia</v>
          </cell>
          <cell r="E21" t="str">
            <v>Diámetro</v>
          </cell>
          <cell r="F21" t="str">
            <v>Precio por Metro</v>
          </cell>
        </row>
        <row r="22">
          <cell r="B22" t="str">
            <v>Tramos de 6 metros</v>
          </cell>
        </row>
        <row r="23">
          <cell r="B23" t="str">
            <v>campana Union Z</v>
          </cell>
        </row>
        <row r="24">
          <cell r="B24" t="str">
            <v>RDE   Presión de</v>
          </cell>
        </row>
        <row r="25">
          <cell r="B25" t="str">
            <v xml:space="preserve">      trabajo a</v>
          </cell>
        </row>
        <row r="26">
          <cell r="B26" t="str">
            <v xml:space="preserve">      23°C psi</v>
          </cell>
        </row>
        <row r="27">
          <cell r="B27" t="str">
            <v>32.5  125</v>
          </cell>
          <cell r="D27" t="str">
            <v>0210702003</v>
          </cell>
          <cell r="E27" t="str">
            <v>2</v>
          </cell>
          <cell r="F27" t="str">
            <v>$</v>
          </cell>
          <cell r="G27">
            <v>2650</v>
          </cell>
        </row>
        <row r="28">
          <cell r="B28" t="str">
            <v>41    100</v>
          </cell>
          <cell r="D28" t="str">
            <v>0210702004</v>
          </cell>
          <cell r="E28" t="str">
            <v>2</v>
          </cell>
          <cell r="F28" t="str">
            <v>$</v>
          </cell>
          <cell r="G28">
            <v>2208.5714285714289</v>
          </cell>
        </row>
        <row r="29">
          <cell r="D29" t="str">
            <v>0210902004</v>
          </cell>
          <cell r="E29" t="str">
            <v>3</v>
          </cell>
          <cell r="G29">
            <v>4531.4285714285716</v>
          </cell>
        </row>
        <row r="30">
          <cell r="B30" t="str">
            <v>51     80</v>
          </cell>
          <cell r="D30" t="str">
            <v>0210902005</v>
          </cell>
          <cell r="E30" t="str">
            <v>3</v>
          </cell>
          <cell r="F30" t="str">
            <v>$</v>
          </cell>
          <cell r="G30">
            <v>3794.2857142857147</v>
          </cell>
        </row>
        <row r="31">
          <cell r="D31" t="str">
            <v>0211002005</v>
          </cell>
          <cell r="E31" t="str">
            <v>4</v>
          </cell>
          <cell r="G31">
            <v>6082.8571428571431</v>
          </cell>
        </row>
        <row r="32">
          <cell r="D32" t="str">
            <v>0211202005</v>
          </cell>
          <cell r="E32" t="str">
            <v>6</v>
          </cell>
          <cell r="G32">
            <v>13038.571428571429</v>
          </cell>
        </row>
        <row r="33">
          <cell r="D33" t="str">
            <v>0211302005</v>
          </cell>
          <cell r="E33" t="str">
            <v>8</v>
          </cell>
          <cell r="G33">
            <v>22107.142857142859</v>
          </cell>
        </row>
        <row r="34">
          <cell r="D34" t="str">
            <v>0211402005</v>
          </cell>
          <cell r="E34" t="str">
            <v>10</v>
          </cell>
          <cell r="G34">
            <v>34177.142857142862</v>
          </cell>
        </row>
        <row r="35">
          <cell r="D35" t="str">
            <v>0211502005</v>
          </cell>
          <cell r="E35" t="str">
            <v>12</v>
          </cell>
          <cell r="G35">
            <v>48884.285714285717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BASE CTOS"/>
      <sheetName val="RESUMEN OBRAS"/>
      <sheetName val="COLECTOR NORTE"/>
      <sheetName val="APU COLECTOR NORTE"/>
      <sheetName val="DOM.  COLECTOR NORTE."/>
      <sheetName val="APU Domic. COLECTOR  NORTE"/>
      <sheetName val="REDES SECUND.COLECTOR NORTE"/>
      <sheetName val="APU Redes Secund COLECTOR NORTE"/>
      <sheetName val="DOM.  REDES SEC. COL. NORTE"/>
      <sheetName val="APU Domic. Redes sec COLEC  NOR"/>
      <sheetName val="PRESUPUESTO PTAR NORTE"/>
      <sheetName val="APU PTAR NORTE"/>
      <sheetName val="COLECTOR SUR"/>
      <sheetName val="APU COLECTOR SUR"/>
      <sheetName val="DOM.   COLECTOR SUR"/>
      <sheetName val="APU Domic. COLECTOR  SUR"/>
      <sheetName val="REDES SECUND.COLECTOR SUR"/>
      <sheetName val="APU Redes Secund. COLECTOR SUR"/>
      <sheetName val="DOM.  REDES SEC. COL. SUR"/>
      <sheetName val="APU Domic. Redes sec COLEC  SUR"/>
      <sheetName val="COLECTOR LA FLORESTA"/>
      <sheetName val="APU COLECTOR LA FLORESTA"/>
      <sheetName val="DOM.   COLECTOR LA FLORESTA"/>
      <sheetName val="APU Domic. COLEC  FLORESTA"/>
      <sheetName val="REDES SECUNDARIAS  FLORESTA"/>
      <sheetName val="APU Redes Secund. COLECTOR FLOR"/>
      <sheetName val="DOM.  REDES SEC. COL. LA FLORES"/>
      <sheetName val="APU Dom REDES  SEC COLEC  FLOR"/>
      <sheetName val="PRESUPUESTO PTAR LA FLORESTA"/>
      <sheetName val="APU PTAR LA FLORESTA"/>
      <sheetName val="RES MATERERIALES ALCANTARIL"/>
      <sheetName val="SEPARADORAS A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 val="APU PTAR SUR"/>
      <sheetName val="Tabla 1.1"/>
      <sheetName val="RESUMEN_OBRAS_ALCANTARILLADO"/>
      <sheetName val="REDES_SEC_SUR"/>
      <sheetName val="APU_REDES_SEC_SUR"/>
      <sheetName val="COLECTOR_SUR_"/>
      <sheetName val="APU_COL_SUR"/>
      <sheetName val="PTAR_SUR"/>
      <sheetName val="REDES_SEC_NORTE"/>
      <sheetName val="APU_REDES_SEC_NORTE"/>
      <sheetName val="COLECTOR_NORTE"/>
      <sheetName val="APU_COLEC_NORTE"/>
      <sheetName val="PTAR_NORTE"/>
      <sheetName val="APU_PTAR_NORTE"/>
      <sheetName val="REDES_SEC_Travesía_"/>
      <sheetName val="APU_REDES_Travesía"/>
      <sheetName val="PTAR_Travesía"/>
      <sheetName val="APU_PTAR_Travesía"/>
      <sheetName val="REDES_SEC_Mulatos"/>
      <sheetName val="APU_REDES_Mulatos"/>
      <sheetName val="PTAR_Mulatos"/>
      <sheetName val="APU_PTAR_Mulatos"/>
      <sheetName val="REDES_SEC_Escuela"/>
      <sheetName val="APU_REDES_Escuela"/>
      <sheetName val="PTAR_Escuela"/>
      <sheetName val="APU_PTAR_Escuela"/>
      <sheetName val="BASE_CTOS"/>
      <sheetName val="APU_PTAR_SUR"/>
      <sheetName val="Tabla_1_1"/>
      <sheetName val="RESUMEN_OBRAS_ALCANTARILLADO2"/>
      <sheetName val="REDES_SEC_SUR2"/>
      <sheetName val="APU_REDES_SEC_SUR2"/>
      <sheetName val="COLECTOR_SUR_2"/>
      <sheetName val="APU_COL_SUR2"/>
      <sheetName val="PTAR_SUR2"/>
      <sheetName val="REDES_SEC_NORTE2"/>
      <sheetName val="APU_REDES_SEC_NORTE2"/>
      <sheetName val="COLECTOR_NORTE2"/>
      <sheetName val="APU_COLEC_NORTE2"/>
      <sheetName val="PTAR_NORTE2"/>
      <sheetName val="APU_PTAR_NORTE2"/>
      <sheetName val="REDES_SEC_Travesía_2"/>
      <sheetName val="APU_REDES_Travesía2"/>
      <sheetName val="PTAR_Travesía2"/>
      <sheetName val="APU_PTAR_Travesía2"/>
      <sheetName val="REDES_SEC_Mulatos2"/>
      <sheetName val="APU_REDES_Mulatos2"/>
      <sheetName val="PTAR_Mulatos2"/>
      <sheetName val="APU_PTAR_Mulatos2"/>
      <sheetName val="REDES_SEC_Escuela2"/>
      <sheetName val="APU_REDES_Escuela2"/>
      <sheetName val="PTAR_Escuela2"/>
      <sheetName val="APU_PTAR_Escuela2"/>
      <sheetName val="BASE_CTOS2"/>
      <sheetName val="APU_PTAR_SUR2"/>
      <sheetName val="Tabla_1_12"/>
      <sheetName val="RESUMEN_OBRAS_ALCANTARILLADO1"/>
      <sheetName val="REDES_SEC_SUR1"/>
      <sheetName val="APU_REDES_SEC_SUR1"/>
      <sheetName val="COLECTOR_SUR_1"/>
      <sheetName val="APU_COL_SUR1"/>
      <sheetName val="PTAR_SUR1"/>
      <sheetName val="REDES_SEC_NORTE1"/>
      <sheetName val="APU_REDES_SEC_NORTE1"/>
      <sheetName val="COLECTOR_NORTE1"/>
      <sheetName val="APU_COLEC_NORTE1"/>
      <sheetName val="PTAR_NORTE1"/>
      <sheetName val="APU_PTAR_NORTE1"/>
      <sheetName val="REDES_SEC_Travesía_1"/>
      <sheetName val="APU_REDES_Travesía1"/>
      <sheetName val="PTAR_Travesía1"/>
      <sheetName val="APU_PTAR_Travesía1"/>
      <sheetName val="REDES_SEC_Mulatos1"/>
      <sheetName val="APU_REDES_Mulatos1"/>
      <sheetName val="PTAR_Mulatos1"/>
      <sheetName val="APU_PTAR_Mulatos1"/>
      <sheetName val="REDES_SEC_Escuela1"/>
      <sheetName val="APU_REDES_Escuela1"/>
      <sheetName val="PTAR_Escuela1"/>
      <sheetName val="APU_PTAR_Escuela1"/>
      <sheetName val="BASE_CTOS1"/>
      <sheetName val="APU_PTAR_SUR1"/>
      <sheetName val="Tabla_1_11"/>
      <sheetName val="SUB APU"/>
      <sheetName val="Hoja2"/>
      <sheetName val="OBRAS 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C3">
            <v>0.25</v>
          </cell>
        </row>
        <row r="77">
          <cell r="D77">
            <v>88435</v>
          </cell>
        </row>
        <row r="85">
          <cell r="D85">
            <v>72702</v>
          </cell>
        </row>
        <row r="168">
          <cell r="D168">
            <v>561440</v>
          </cell>
        </row>
        <row r="172">
          <cell r="D172">
            <v>229679.99999999997</v>
          </cell>
        </row>
        <row r="252">
          <cell r="D252">
            <v>139200</v>
          </cell>
        </row>
        <row r="253">
          <cell r="D253">
            <v>810</v>
          </cell>
        </row>
        <row r="257">
          <cell r="D257">
            <v>163560</v>
          </cell>
        </row>
        <row r="306">
          <cell r="D306">
            <v>100</v>
          </cell>
        </row>
      </sheetData>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CTOS"/>
      <sheetName val="BASE"/>
      <sheetName val="PRESUP. COLECTOR PPAL"/>
      <sheetName val="APU COLECTOR PPAL"/>
      <sheetName val="PRESUP. INTERCEPTOR"/>
      <sheetName val="APU INTERCEPTOR"/>
      <sheetName val="PRESUP. TRAMOS OPTIMIZADOS"/>
      <sheetName val="APU TRAMOS OPTIMIZADOS"/>
      <sheetName val="PRESUP. TRAMOS PROYECTADOS"/>
      <sheetName val="APU TRAMOS PROYECTADOS"/>
      <sheetName val="PRESUP. TRAMOS PROY ZONA INUNDA"/>
      <sheetName val="APU TRAMOS PROY ZONA INUNDA"/>
      <sheetName val="PRESUP. IMPULSIÓN"/>
      <sheetName val="APU IMPULSIÓN"/>
      <sheetName val="PRESUP. OBRAS EBAR"/>
      <sheetName val="APU OBRAS EBAR"/>
      <sheetName val="ESTACION ELEVADORA"/>
      <sheetName val="APU ESTACION ELEVADORA"/>
      <sheetName val="ESTACION ELEVADORA ZONA INUNDA."/>
      <sheetName val="APU ESTACION ELEVADORA INUNDA"/>
      <sheetName val="LAGUNA DE OXIDACIÓN"/>
      <sheetName val="APU LAGUNA DE OXIDACIÓN"/>
      <sheetName val="RESUMEN DE OBRAS"/>
    </sheetNames>
    <sheetDataSet>
      <sheetData sheetId="0" refreshError="1">
        <row r="44">
          <cell r="C44">
            <v>0.30000000000000004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sheetName val="BASE_Concretos"/>
      <sheetName val="PTAR 2 PALERMO"/>
      <sheetName val="APU PTAR 2 PALERMO"/>
      <sheetName val="PTAR_SistEléctrico"/>
      <sheetName val="APU_SisEléctrico"/>
      <sheetName val="RESUMEN PTAR"/>
    </sheetNames>
    <sheetDataSet>
      <sheetData sheetId="0" refreshError="1"/>
      <sheetData sheetId="1"/>
      <sheetData sheetId="2"/>
      <sheetData sheetId="3"/>
      <sheetData sheetId="4" refreshError="1"/>
      <sheetData sheetId="5" refreshError="1"/>
      <sheetData sheetId="6"/>
      <sheetData sheetId="7"/>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BASE CTOS"/>
      <sheetName val="COLECTOR FINAL"/>
      <sheetName val="APU COLECTOR FINAL"/>
      <sheetName val=" PTAR DONMATIAS"/>
      <sheetName val="APU PTAR"/>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AIU"/>
      <sheetName val="PRESTACIONES"/>
      <sheetName val="BASE SALARIOS"/>
      <sheetName val="BASE CONCRETOS"/>
      <sheetName val="CUADRO RESUMEN"/>
      <sheetName val="PRESUPUESTO"/>
      <sheetName val="APU"/>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CTOS"/>
      <sheetName val="BASE"/>
      <sheetName val="ALCANTARILLADO"/>
      <sheetName val="APU REDES ALDO "/>
    </sheetNames>
    <sheetDataSet>
      <sheetData sheetId="0" refreshError="1"/>
      <sheetData sheetId="1" refreshError="1"/>
      <sheetData sheetId="2"/>
      <sheetData sheetId="3"/>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impacto "/>
      <sheetName val="BASE CTOS"/>
      <sheetName val="REDES DISTRITO 1"/>
      <sheetName val="APU REDES DISTR.1"/>
      <sheetName val="REDES DISTRITO 2"/>
      <sheetName val="APU REDES DISTR.2"/>
      <sheetName val="REDES DISTRITO 3"/>
      <sheetName val="APU REDES DISTR.3 "/>
      <sheetName val="REDES DISTRITO 4"/>
      <sheetName val="APU REDES DISTR.4"/>
      <sheetName val=" PTAR VIKINGOS"/>
      <sheetName val="APU PTAR_VIKINGOS"/>
      <sheetName val=" PTAR LAS DELICIAS"/>
      <sheetName val="APU PTAR_DELICIAS"/>
      <sheetName val=" PTAR DOS DE ABRIL"/>
      <sheetName val="APU PTAR_DOS DE ABRIL"/>
      <sheetName val=" PTAR SAN JUAN ORIENTAL"/>
      <sheetName val="APU PTAR_S_JORIENTAL"/>
      <sheetName val="APU PTAR"/>
      <sheetName val="RESUMEN OB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RESUMEN OBRAS "/>
      <sheetName val=" REDES DE DISTRI"/>
      <sheetName val="APU_Redes"/>
      <sheetName val="OPTIMIZACIÓN"/>
      <sheetName val="APU OPTIMIZACIÓN"/>
      <sheetName val="PTAP"/>
      <sheetName val="APU PTAP"/>
      <sheetName val="Tanque de Almacenamiento"/>
      <sheetName val="APU TAL"/>
      <sheetName val="ESTAC.  REGULA"/>
      <sheetName val="APU ESTC REGUL "/>
      <sheetName val="REDES ALCANTARILLADO"/>
      <sheetName val="APU REDES ALCANTARILLADO"/>
      <sheetName val="VIA"/>
      <sheetName val="APU VIA"/>
      <sheetName val="SENDEROS"/>
      <sheetName val="APU SENDEROS"/>
      <sheetName val="BASE_CTOS"/>
      <sheetName val="BASE_CTOS2"/>
      <sheetName val="BASE_CTOS1"/>
      <sheetName val="Tabla 1.1"/>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 val="ResumenGeneral"/>
      <sheetName val="BOCATOMA"/>
      <sheetName val="APU BOCATOMA"/>
      <sheetName val="ADUCCIÓN"/>
      <sheetName val="APU ADUCCIÓN"/>
      <sheetName val="DESARENADOR"/>
      <sheetName val="APU DESARENADOR"/>
      <sheetName val="PLANTA DE TRATAMIENTO"/>
      <sheetName val="APU PLANTA DE TRATAMIENTO"/>
      <sheetName val="APU TANQUE ALMAC"/>
      <sheetName val="CASETA DE OPERACIONES"/>
      <sheetName val="APU CASETA DE OPERACIONES"/>
      <sheetName val="APU BOMBEO Y L. IMPUL."/>
      <sheetName val="CANALETA9"/>
      <sheetName val="1.2.1 DESCAPOTE"/>
      <sheetName val="2.1.1 EXCAVACIÓN 0-2"/>
      <sheetName val="2.1.2 CARGUE Y BOTADA"/>
      <sheetName val="2.2.1 LLENOS MATERIAL EXCAV."/>
      <sheetName val="2.2.2 LLENOS LIMO"/>
      <sheetName val="2.2.3 LLENOS TRITURADO "/>
      <sheetName val="4.1.1 BASE GRANULAR"/>
      <sheetName val="4.1.2 PEDRAPLEN"/>
      <sheetName val="4.1.3 AFIRMADO"/>
      <sheetName val="4.2.1 PAVIMENTO"/>
      <sheetName val="6.1.2 SOLADO"/>
      <sheetName val="6.1.3 CICLOPEO"/>
      <sheetName val="6.1.12 LOSA APROX"/>
      <sheetName val="7.1.2 ADOQUIN DEMARCADOR"/>
      <sheetName val="7.1.4 LOSETA GUIA"/>
      <sheetName val="7.2 BORDILLOS PREFABRICADOS"/>
      <sheetName val="11.1.1 GEOTEXTIL NT 2000"/>
      <sheetName val="11.1.2 TUBERIA FILTRO 4"/>
      <sheetName val="11.2.2 TUBERIA 315"/>
      <sheetName val="11.2.4 TUBERIA 400"/>
      <sheetName val="11.5.1 CONO 1.2m"/>
      <sheetName val="11.5.2 CUELLO Y TAPA"/>
      <sheetName val="11.5.3 CILINDRO"/>
      <sheetName val="O.E.2 EXCAVACION 2-4"/>
      <sheetName val="O.E.3 ENTIBA TEMPORAL"/>
      <sheetName val="O.E.4 LLENOS ARENILLA"/>
      <sheetName val="O.E.5 BASE Y CAÑUELA"/>
      <sheetName val="O.E.6 GEOTEXTIL TR 4000"/>
      <sheetName val="O.E-01 Demolicion estructura"/>
      <sheetName val="ACTA 1"/>
      <sheetName val="ACTA 2 "/>
      <sheetName val="1,01 Topografia"/>
      <sheetName val="1,02 Roceria y limpieza"/>
      <sheetName val="2,02 Cargue y botada"/>
      <sheetName val="2,03 demolicion estructuras"/>
      <sheetName val="2,05 Cargue y botada "/>
      <sheetName val="3,01 Excavacion"/>
      <sheetName val="3,04 llenos"/>
      <sheetName val="3,07 enrocado"/>
      <sheetName val="3,08 Excav. mecanica"/>
      <sheetName val="4,02 cuneta"/>
      <sheetName val="4,03 mpa 210"/>
      <sheetName val="4,04 ciclopeo"/>
      <sheetName val="4,10 Concreto anden"/>
      <sheetName val="5,04 Geotextil 1800"/>
      <sheetName val="7.01Trincho"/>
      <sheetName val="7,03 Concreto llave"/>
      <sheetName val="9,01 Pavimentos mdc19 "/>
      <sheetName val="9,02. emulsion "/>
      <sheetName val="8,01 Fresado"/>
      <sheetName val="8,02 mezcla mdc-2"/>
      <sheetName val="8,03 Base granular"/>
      <sheetName val="8,04 Riego"/>
      <sheetName val="9,01 Bordillo"/>
      <sheetName val="11,01 mezcla msc -25"/>
      <sheetName val="6,01 ACERO"/>
      <sheetName val="iniciativas comunitarias"/>
      <sheetName val="1,01 Topografia."/>
      <sheetName val="1,02 cerramiento prov."/>
      <sheetName val="3,01 Desmonte  piso ceramico"/>
      <sheetName val="3,04 Retiro de puertas"/>
      <sheetName val="3,07 Demolicion de piso"/>
      <sheetName val="3,13 Retiro de aparatos sanit."/>
      <sheetName val="3,14 Desm. y dem. de cubierta"/>
      <sheetName val="5.09 Base granular "/>
      <sheetName val="8,01 Rep. y Mto de cubierta"/>
      <sheetName val="8,10 Construccion de cubierta"/>
      <sheetName val="9,01 Picado de revoque"/>
      <sheetName val="9,03 Colocacion de revoque"/>
      <sheetName val="9,07 Revoque"/>
      <sheetName val="10,01 Entresuelo"/>
      <sheetName val="10,03 Piso en concretio"/>
      <sheetName val="10,04 Construccion mortero"/>
      <sheetName val="10,06 Colocacion de piso gres"/>
      <sheetName val="O.E-01"/>
      <sheetName val="O.E-02"/>
      <sheetName val="O.E-03"/>
      <sheetName val="O.E-4"/>
      <sheetName val="O.E-05"/>
      <sheetName val="O.E-06"/>
      <sheetName val="O.E-07"/>
      <sheetName val="O.E-08"/>
      <sheetName val="O.E-09 pilas 0-2"/>
      <sheetName val="O.E-10 pilas 2-4"/>
      <sheetName val="O.E-11 pilas 4-6"/>
      <sheetName val="O.E-12 pilas 6-8"/>
      <sheetName val="O.E-13 pilas 8-10"/>
      <sheetName val="O.E-14 pilas 10-12"/>
      <sheetName val="O.E-15 pilas 12-14"/>
      <sheetName val="O.E-16 pilas 14-16"/>
      <sheetName val="O.E-17 DV-1"/>
      <sheetName val="O.E-18 DV-2"/>
      <sheetName val="O.E-19 DV-3"/>
      <sheetName val="O.E-23 Pintura koraza"/>
      <sheetName val="O.E-24 Lavada de fachada "/>
      <sheetName val="O.E 26 COLUMNA CIRCULAR 35 MPA"/>
    </sheetNames>
    <sheetDataSet>
      <sheetData sheetId="0" refreshError="1"/>
      <sheetData sheetId="1" refreshError="1"/>
      <sheetData sheetId="2" refreshError="1">
        <row r="3">
          <cell r="C3">
            <v>0.25</v>
          </cell>
        </row>
        <row r="8">
          <cell r="D8">
            <v>0.65280000000000005</v>
          </cell>
        </row>
        <row r="392">
          <cell r="D392">
            <v>71500</v>
          </cell>
        </row>
        <row r="394">
          <cell r="D394">
            <v>19800</v>
          </cell>
        </row>
        <row r="395">
          <cell r="D395">
            <v>14400</v>
          </cell>
        </row>
        <row r="396">
          <cell r="D396">
            <v>7250</v>
          </cell>
        </row>
        <row r="401">
          <cell r="D401">
            <v>5120</v>
          </cell>
        </row>
      </sheetData>
      <sheetData sheetId="3" refreshError="1"/>
      <sheetData sheetId="4" refreshError="1">
        <row r="346">
          <cell r="B346" t="str">
            <v>HERRAMIENTA MENOR (5% M. DE O.)</v>
          </cell>
        </row>
        <row r="363">
          <cell r="B363" t="str">
            <v>HERRAMIENTA MENOR (5% M. DE O.)</v>
          </cell>
        </row>
        <row r="380">
          <cell r="B380" t="str">
            <v>HERRAMIENTA MENOR (5% M. DE O.)</v>
          </cell>
        </row>
        <row r="397">
          <cell r="B397" t="str">
            <v>OFICIAL (INC. 70% PRESTACIONES)</v>
          </cell>
        </row>
        <row r="412">
          <cell r="B412" t="str">
            <v>M. DE O. PREPARACIÓN MEZCLAS</v>
          </cell>
        </row>
        <row r="427">
          <cell r="B427">
            <v>311197.66134374996</v>
          </cell>
        </row>
      </sheetData>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BASE_CTOS"/>
      <sheetName val="BASE_CTOS2"/>
      <sheetName val="BASE_CTOS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PTIM. SIST. DE CAPTACION"/>
      <sheetName val="PPTO. CONST. ESTAC.  REGULA"/>
      <sheetName val="APU CONST. ESTACIÓN REGULADORA"/>
      <sheetName val="PPTO. OPTIM. REDES DE DISTRIB."/>
      <sheetName val="APU OPTM. REDES DIST"/>
      <sheetName val="BASE"/>
    </sheetNames>
    <sheetDataSet>
      <sheetData sheetId="0"/>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Cab"/>
      <sheetName val="AMPACITY"/>
      <sheetName val="Base_de_Diseño1"/>
      <sheetName val="Ppto_total"/>
      <sheetName val="Resumen_tubería"/>
      <sheetName val="Tabla_4_1_Distrito_Nº1"/>
      <sheetName val="Tabla_4_2_Distrito_Nº2"/>
      <sheetName val="Tabal_4_3_Resumén_distritos"/>
      <sheetName val="Tabla_4_4_Sistemas"/>
      <sheetName val="Ppto_alcantarillado"/>
      <sheetName val="Base_de_Diseño"/>
      <sheetName val="CONSUMOS"/>
      <sheetName val="Base_de_Diseño3"/>
      <sheetName val="Ppto_total3"/>
      <sheetName val="Resumen_tubería3"/>
      <sheetName val="Tabla_4_1_Distrito_Nº13"/>
      <sheetName val="Tabla_4_2_Distrito_Nº23"/>
      <sheetName val="Tabal_4_3_Resumén_distritos3"/>
      <sheetName val="Tabla_4_4_Sistemas3"/>
      <sheetName val="Ppto_alcantarillado3"/>
      <sheetName val="Base_de_Diseño2"/>
      <sheetName val="Ppto_total2"/>
      <sheetName val="Resumen_tubería2"/>
      <sheetName val="Tabla_4_1_Distrito_Nº12"/>
      <sheetName val="Tabla_4_2_Distrito_Nº22"/>
      <sheetName val="Tabal_4_3_Resumén_distritos2"/>
      <sheetName val="Tabla_4_4_Sistemas2"/>
      <sheetName val="Ppto_alcantarillado2"/>
      <sheetName val="Ppto_total1"/>
      <sheetName val="Resumen_tubería1"/>
      <sheetName val="Tabla_4_1_Distrito_Nº11"/>
      <sheetName val="Tabla_4_2_Distrito_Nº21"/>
      <sheetName val="Tabal_4_3_Resumén_distritos1"/>
      <sheetName val="Tabla_4_4_Sistemas1"/>
      <sheetName val="Ppto_alcantarillado1"/>
      <sheetName val="Base_de_Diseño4"/>
      <sheetName val="Ppto_total4"/>
      <sheetName val="Resumen_tubería4"/>
      <sheetName val="Tabla_4_1_Distrito_Nº14"/>
      <sheetName val="Tabla_4_2_Distrito_Nº24"/>
      <sheetName val="Tabal_4_3_Resumén_distritos4"/>
      <sheetName val="Tabla_4_4_Sistemas4"/>
      <sheetName val="Ppto_alcantarillado4"/>
      <sheetName val="Base_de_Diseño5"/>
      <sheetName val="Ppto_total5"/>
      <sheetName val="Resumen_tubería5"/>
      <sheetName val="Tabla_4_1_Distrito_Nº15"/>
      <sheetName val="Tabla_4_2_Distrito_Nº25"/>
      <sheetName val="Tabal_4_3_Resumén_distritos5"/>
      <sheetName val="Tabla_4_4_Sistemas5"/>
      <sheetName val="Ppto_alcantarillado5"/>
      <sheetName val="Base_de_Diseño6"/>
      <sheetName val="Ppto_total6"/>
      <sheetName val="Resumen_tubería6"/>
      <sheetName val="Tabla_4_1_Distrito_Nº16"/>
      <sheetName val="Tabla_4_2_Distrito_Nº26"/>
      <sheetName val="Tabal_4_3_Resumén_distritos6"/>
      <sheetName val="Tabla_4_4_Sistemas6"/>
      <sheetName val="Ppto_alcantarillado6"/>
      <sheetName val="Base_de_Diseño7"/>
      <sheetName val="Ppto_total7"/>
      <sheetName val="Resumen_tubería7"/>
      <sheetName val="Tabla_4_1_Distrito_Nº17"/>
      <sheetName val="Tabla_4_2_Distrito_Nº27"/>
      <sheetName val="Tabal_4_3_Resumén_distritos7"/>
      <sheetName val="Tabla_4_4_Sistemas7"/>
      <sheetName val="Ppto_alcantarillado7"/>
      <sheetName val="Base_de_Diseño8"/>
      <sheetName val="Ppto_total8"/>
      <sheetName val="Resumen_tubería8"/>
      <sheetName val="Tabla_4_1_Distrito_Nº18"/>
      <sheetName val="Tabla_4_2_Distrito_Nº28"/>
      <sheetName val="Tabal_4_3_Resumén_distritos8"/>
      <sheetName val="Tabla_4_4_Sistemas8"/>
      <sheetName val="Ppto_alcantarillado8"/>
      <sheetName val="Base_de_Diseño10"/>
      <sheetName val="Ppto_total10"/>
      <sheetName val="Resumen_tubería10"/>
      <sheetName val="Tabla_4_1_Distrito_Nº110"/>
      <sheetName val="Tabla_4_2_Distrito_Nº210"/>
      <sheetName val="Tabal_4_3_Resumén_distritos10"/>
      <sheetName val="Tabla_4_4_Sistemas10"/>
      <sheetName val="Ppto_alcantarillado10"/>
      <sheetName val="Base_de_Diseño9"/>
      <sheetName val="Ppto_total9"/>
      <sheetName val="Resumen_tubería9"/>
      <sheetName val="Tabla_4_1_Distrito_Nº19"/>
      <sheetName val="Tabla_4_2_Distrito_Nº29"/>
      <sheetName val="Tabal_4_3_Resumén_distritos9"/>
      <sheetName val="Tabla_4_4_Sistemas9"/>
      <sheetName val="Ppto_alcantarillado9"/>
      <sheetName val="Base_de_Diseño15"/>
      <sheetName val="Ppto_total15"/>
      <sheetName val="Resumen_tubería15"/>
      <sheetName val="Tabla_4_1_Distrito_Nº115"/>
      <sheetName val="Tabla_4_2_Distrito_Nº215"/>
      <sheetName val="Tabal_4_3_Resumén_distritos15"/>
      <sheetName val="Tabla_4_4_Sistemas15"/>
      <sheetName val="Ppto_alcantarillado15"/>
      <sheetName val="Base_de_Diseño11"/>
      <sheetName val="Ppto_total11"/>
      <sheetName val="Resumen_tubería11"/>
      <sheetName val="Tabla_4_1_Distrito_Nº111"/>
      <sheetName val="Tabla_4_2_Distrito_Nº211"/>
      <sheetName val="Tabal_4_3_Resumén_distritos11"/>
      <sheetName val="Tabla_4_4_Sistemas11"/>
      <sheetName val="Ppto_alcantarillado11"/>
      <sheetName val="Base_de_Diseño12"/>
      <sheetName val="Ppto_total12"/>
      <sheetName val="Resumen_tubería12"/>
      <sheetName val="Tabla_4_1_Distrito_Nº112"/>
      <sheetName val="Tabla_4_2_Distrito_Nº212"/>
      <sheetName val="Tabal_4_3_Resumén_distritos12"/>
      <sheetName val="Tabla_4_4_Sistemas12"/>
      <sheetName val="Ppto_alcantarillado12"/>
      <sheetName val="Base_de_Diseño13"/>
      <sheetName val="Ppto_total13"/>
      <sheetName val="Resumen_tubería13"/>
      <sheetName val="Tabla_4_1_Distrito_Nº113"/>
      <sheetName val="Tabla_4_2_Distrito_Nº213"/>
      <sheetName val="Tabal_4_3_Resumén_distritos13"/>
      <sheetName val="Tabla_4_4_Sistemas13"/>
      <sheetName val="Ppto_alcantarillado13"/>
      <sheetName val="Base_de_Diseño14"/>
      <sheetName val="Ppto_total14"/>
      <sheetName val="Resumen_tubería14"/>
      <sheetName val="Tabla_4_1_Distrito_Nº114"/>
      <sheetName val="Tabla_4_2_Distrito_Nº214"/>
      <sheetName val="Tabal_4_3_Resumén_distritos14"/>
      <sheetName val="Tabla_4_4_Sistemas14"/>
      <sheetName val="Ppto_alcantarillado14"/>
      <sheetName val="Base_de_Diseño16"/>
      <sheetName val="Ppto_total16"/>
      <sheetName val="Resumen_tubería16"/>
      <sheetName val="Tabla_4_1_Distrito_Nº116"/>
      <sheetName val="Tabla_4_2_Distrito_Nº216"/>
      <sheetName val="Tabal_4_3_Resumén_distritos16"/>
      <sheetName val="Tabla_4_4_Sistemas16"/>
      <sheetName val="Ppto_alcantarillado16"/>
      <sheetName val="Base_de_Diseño17"/>
      <sheetName val="Ppto_total17"/>
      <sheetName val="Resumen_tubería17"/>
      <sheetName val="Tabla_4_1_Distrito_Nº117"/>
      <sheetName val="Tabla_4_2_Distrito_Nº217"/>
      <sheetName val="Tabal_4_3_Resumén_distritos17"/>
      <sheetName val="Tabla_4_4_Sistemas17"/>
      <sheetName val="Ppto_alcantarillado17"/>
      <sheetName val="Base_de_Diseño18"/>
      <sheetName val="Ppto_total18"/>
      <sheetName val="Resumen_tubería18"/>
      <sheetName val="Tabla_4_1_Distrito_Nº118"/>
      <sheetName val="Tabla_4_2_Distrito_Nº218"/>
      <sheetName val="Tabal_4_3_Resumén_distritos18"/>
      <sheetName val="Tabla_4_4_Sistemas18"/>
      <sheetName val="Ppto_alcantarillado18"/>
      <sheetName val="Base_de_Diseño19"/>
      <sheetName val="Ppto_total19"/>
      <sheetName val="Resumen_tubería19"/>
      <sheetName val="Tabla_4_1_Distrito_Nº119"/>
      <sheetName val="Tabla_4_2_Distrito_Nº219"/>
      <sheetName val="Tabal_4_3_Resumén_distritos19"/>
      <sheetName val="Tabla_4_4_Sistemas19"/>
      <sheetName val="Ppto_alcantarillado19"/>
      <sheetName val="Base_de_Diseño20"/>
      <sheetName val="Ppto_total20"/>
      <sheetName val="Resumen_tubería20"/>
      <sheetName val="Tabla_4_1_Distrito_Nº120"/>
      <sheetName val="Tabla_4_2_Distrito_Nº220"/>
      <sheetName val="Tabal_4_3_Resumén_distritos20"/>
      <sheetName val="Tabla_4_4_Sistemas20"/>
      <sheetName val="Ppto_alcantarillado20"/>
      <sheetName val="Base_de_Diseño21"/>
      <sheetName val="Ppto_total21"/>
      <sheetName val="Resumen_tubería21"/>
      <sheetName val="Tabla_4_1_Distrito_Nº121"/>
      <sheetName val="Tabla_4_2_Distrito_Nº221"/>
      <sheetName val="Tabal_4_3_Resumén_distritos21"/>
      <sheetName val="Tabla_4_4_Sistemas21"/>
      <sheetName val="Ppto_alcantarillado21"/>
      <sheetName val="Base_de_Diseño22"/>
      <sheetName val="Ppto_total22"/>
      <sheetName val="Resumen_tubería22"/>
      <sheetName val="Tabla_4_1_Distrito_Nº122"/>
      <sheetName val="Tabla_4_2_Distrito_Nº222"/>
      <sheetName val="Tabal_4_3_Resumén_distritos22"/>
      <sheetName val="Tabla_4_4_Sistemas22"/>
      <sheetName val="Ppto_alcantarillado22"/>
    </sheetNames>
    <sheetDataSet>
      <sheetData sheetId="0" refreshError="1">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DOS"/>
      <sheetName val="TUBERIAS"/>
      <sheetName val="Hoja3"/>
      <sheetName val="CANTOBRA"/>
      <sheetName val="PPTO AREA URBANA"/>
      <sheetName val="Base de Diseño"/>
      <sheetName val="PPTO_AREA_URBANA"/>
      <sheetName val="Base_de_Diseño"/>
    </sheetNames>
    <sheetDataSet>
      <sheetData sheetId="0"/>
      <sheetData sheetId="1"/>
      <sheetData sheetId="2" refreshError="1">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 sheetId="3"/>
      <sheetData sheetId="4"/>
      <sheetData sheetId="5" refreshError="1"/>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te (6)"/>
      <sheetName val="Corte (5)"/>
      <sheetName val="Corte (4)"/>
      <sheetName val="Corte (3)"/>
      <sheetName val="Corte (2)"/>
      <sheetName val="Corte (1)"/>
      <sheetName val="Corte"/>
      <sheetName val="pagos"/>
      <sheetName val="%EJECUTADO"/>
      <sheetName val="RESUMENREAJUSTES"/>
      <sheetName val="REAJUSTESACTA1PROVI"/>
      <sheetName val="REAJUSTE DEFINITACTA1"/>
      <sheetName val="REAJUSTESDEFINITACTAS2 (2)"/>
      <sheetName val="REAJUSTESDEFINITIVOSACTA3"/>
      <sheetName val="REAJUSTESDEFINITIVOSACTA4"/>
      <sheetName val="REAJUSTESDEFINITIVOSACTA5"/>
      <sheetName val="Hoja2"/>
      <sheetName val="Hoja1"/>
      <sheetName val="Gráfico6"/>
      <sheetName val="Valores"/>
      <sheetName val="Grafico"/>
      <sheetName val="Módulo1"/>
      <sheetName val="REAJUSTESDEFINITACTAS3"/>
      <sheetName val="REAJUSTESDEFINITACTAS4"/>
      <sheetName val="REAJUSTESDEFINITACTAS5"/>
      <sheetName val="BASE"/>
      <sheetName val="Corte_(6)"/>
      <sheetName val="Corte_(5)"/>
      <sheetName val="Corte_(4)"/>
      <sheetName val="Corte_(3)"/>
      <sheetName val="Corte_(2)"/>
      <sheetName val="Corte_(1)"/>
      <sheetName val="REAJUSTE_DEFINITACTA1"/>
      <sheetName val="REAJUSTESDEFINITACTAS2_(2)"/>
      <sheetName val="Paral. 1"/>
      <sheetName val="Paral. 2"/>
      <sheetName val="Paral. 3"/>
      <sheetName val="Paral.4"/>
      <sheetName val="Coloc. e Interc. Tapones"/>
      <sheetName val="Cambio de Valv."/>
      <sheetName val="Interc de Hidr."/>
      <sheetName val="Interc.tapones"/>
      <sheetName val="Interc.válv."/>
      <sheetName val="Varios."/>
      <sheetName val="Acum"/>
      <sheetName val="REAJ"/>
      <sheetName val="REAJUSTE "/>
      <sheetName val="Corte_(6)1"/>
      <sheetName val="Corte_(5)1"/>
      <sheetName val="Corte_(4)1"/>
      <sheetName val="Corte_(3)1"/>
      <sheetName val="Corte_(2)1"/>
      <sheetName val="Corte_(1)1"/>
      <sheetName val="REAJUSTE_DEFINITACTA11"/>
      <sheetName val="REAJUSTESDEFINITACTAS2_(2)1"/>
      <sheetName val="Paral__1"/>
      <sheetName val="Paral__2"/>
      <sheetName val="Paral__3"/>
      <sheetName val="Paral_4"/>
      <sheetName val="Coloc__e_Interc__Tapones"/>
      <sheetName val="Cambio_de_Valv_"/>
      <sheetName val="Interc_de_Hidr_"/>
      <sheetName val="Interc_tapones"/>
      <sheetName val="Interc_válv_"/>
      <sheetName val="Varios_"/>
      <sheetName val="LISTA CÓDIGOS"/>
      <sheetName val="BASE APU"/>
      <sheetName val="MANO DE OBRA"/>
      <sheetName val="INSUMOS"/>
      <sheetName val="EQUIPOS"/>
      <sheetName val="MATERIALES"/>
      <sheetName val="ESTRUCTURAS"/>
      <sheetName val="TRANSPORT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 val="dici05"/>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catoma"/>
      <sheetName val="Condución PVC"/>
      <sheetName val="Tanque"/>
      <sheetName val="PTO BOCA-COND"/>
      <sheetName val="PTO TANQ.DE ALM"/>
      <sheetName val="PTO REDES"/>
      <sheetName val="PTO REDES _x0002_A"/>
      <sheetName val="Inversión Acdto"/>
      <sheetName val="CANT OBRA "/>
      <sheetName val="APU "/>
      <sheetName val="Base de Diseño"/>
      <sheetName val="HOja2"/>
      <sheetName val="VISC"/>
      <sheetName val="PTO REDES BA"/>
      <sheetName val="DATOS EPANET"/>
      <sheetName val="Condución_PVC"/>
      <sheetName val="PTO_BOCA-COND"/>
      <sheetName val="PTO_TANQ_DE_ALM"/>
      <sheetName val="PTO_REDES"/>
      <sheetName val="PTO_REDES_BA"/>
      <sheetName val="Inversión_Acdto"/>
      <sheetName val="CANT_OBRA_"/>
      <sheetName val="APU_"/>
      <sheetName val="Base_de_Diseño1"/>
      <sheetName val="PTO_REDES_A"/>
      <sheetName val="DATOS_EPANET"/>
      <sheetName val="Base_de_Diseñ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BASE CTOS"/>
      <sheetName val="COLECTOR NORTE (1)"/>
      <sheetName val="COLECTOR NORTE (2)"/>
      <sheetName val="COLECTOR NORTE (3)"/>
      <sheetName val="COLECTOR NORTE (4)"/>
      <sheetName val="REDES SEC. NORTE"/>
      <sheetName val="DOM.  COLECTOR NORTE 1"/>
      <sheetName val="DOMI. SEC  NORTE"/>
      <sheetName val="COLECTOR ORIENTAL"/>
      <sheetName val="REDES SEC ORIENTAL"/>
      <sheetName val="DOMI. SEC ORIENTAL"/>
      <sheetName val="DOMI. COLEC.  ORIENTAL"/>
      <sheetName val="COLECTOR OCCIDENTAL"/>
      <sheetName val="REDES SEC. OCCIDENTAL"/>
      <sheetName val="DOMI. SEC OCCIDENTAL"/>
      <sheetName val="DOMI. COLEC  OCCIDENTAL "/>
      <sheetName val="APU COLECTOR NORTE."/>
      <sheetName val=" PTAR NORTE"/>
      <sheetName val="APU PTAR"/>
      <sheetName val="PRESUPUESTO PTAR OCCIDENTAL"/>
      <sheetName val="APU PTAR OCCIDENTAL"/>
      <sheetName val="PRESUPUESTO PTAR oriental"/>
      <sheetName val="RESUMEN OBRAS"/>
      <sheetName val="Alcant Calle 19 y Guayabito"/>
      <sheetName val="APU Calle 19"/>
      <sheetName val="Alcant Calle Bolivar"/>
      <sheetName val="APU CALLE BOLIVAR"/>
      <sheetName val="RESUMEN DE CANT GUARNE"/>
      <sheetName val="PRESUPUESTO"/>
      <sheetName val="APU GUARNE"/>
      <sheetName val="DISEÑO"/>
      <sheetName val="CIMENT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 val="Seguimiento"/>
      <sheetName val="Resumen metas"/>
      <sheetName val="Brecha EPM"/>
    </sheetNames>
    <sheetDataSet>
      <sheetData sheetId="0" refreshError="1"/>
      <sheetData sheetId="1" refreshError="1"/>
      <sheetData sheetId="2" refreshError="1">
        <row r="24">
          <cell r="A24">
            <v>41</v>
          </cell>
          <cell r="B24" t="str">
            <v>C23</v>
          </cell>
          <cell r="C24" t="str">
            <v>C24</v>
          </cell>
          <cell r="G24">
            <v>0</v>
          </cell>
          <cell r="J24">
            <v>0</v>
          </cell>
          <cell r="K24">
            <v>0</v>
          </cell>
          <cell r="L24">
            <v>0</v>
          </cell>
          <cell r="M24">
            <v>0</v>
          </cell>
          <cell r="N24">
            <v>0</v>
          </cell>
          <cell r="O24">
            <v>0</v>
          </cell>
          <cell r="P24">
            <v>0</v>
          </cell>
          <cell r="Q24">
            <v>0.14000000000000001</v>
          </cell>
          <cell r="S24">
            <v>0.14000000000000001</v>
          </cell>
          <cell r="T24">
            <v>98</v>
          </cell>
          <cell r="U24">
            <v>55</v>
          </cell>
          <cell r="V24">
            <v>0.68799999999999994</v>
          </cell>
          <cell r="X24">
            <v>0</v>
          </cell>
          <cell r="Y24">
            <v>0</v>
          </cell>
          <cell r="AA24">
            <v>0</v>
          </cell>
          <cell r="AB24">
            <v>0</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v>0</v>
          </cell>
          <cell r="BB24">
            <v>1E-3</v>
          </cell>
          <cell r="BC24">
            <v>0</v>
          </cell>
          <cell r="BD24">
            <v>0</v>
          </cell>
          <cell r="BE24">
            <v>1E-3</v>
          </cell>
          <cell r="BF24">
            <v>0</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v>0</v>
          </cell>
          <cell r="J25">
            <v>0</v>
          </cell>
          <cell r="K25">
            <v>0</v>
          </cell>
          <cell r="L25">
            <v>0</v>
          </cell>
          <cell r="M25">
            <v>0</v>
          </cell>
          <cell r="N25">
            <v>0</v>
          </cell>
          <cell r="O25">
            <v>0</v>
          </cell>
          <cell r="P25">
            <v>0</v>
          </cell>
          <cell r="Q25">
            <v>0.06</v>
          </cell>
          <cell r="R25">
            <v>2.29</v>
          </cell>
          <cell r="S25">
            <v>2.4900000000000002</v>
          </cell>
          <cell r="T25">
            <v>98</v>
          </cell>
          <cell r="U25">
            <v>976</v>
          </cell>
          <cell r="V25">
            <v>0.68799999999999994</v>
          </cell>
          <cell r="X25">
            <v>0</v>
          </cell>
          <cell r="Y25">
            <v>0</v>
          </cell>
          <cell r="AA25">
            <v>0</v>
          </cell>
          <cell r="AB25">
            <v>0</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v>0</v>
          </cell>
          <cell r="BH25">
            <v>0</v>
          </cell>
          <cell r="BI25">
            <v>0</v>
          </cell>
          <cell r="BJ25">
            <v>0</v>
          </cell>
          <cell r="BK25">
            <v>0</v>
          </cell>
          <cell r="BL25">
            <v>0</v>
          </cell>
          <cell r="BM25">
            <v>0</v>
          </cell>
          <cell r="BN25">
            <v>0.15</v>
          </cell>
          <cell r="BO25">
            <v>700.43299999999988</v>
          </cell>
          <cell r="BP25">
            <v>697.77299999999991</v>
          </cell>
          <cell r="BQ25">
            <v>700.63299999999992</v>
          </cell>
          <cell r="BR25">
            <v>697.97299999999996</v>
          </cell>
          <cell r="BS25">
            <v>701.923</v>
          </cell>
          <cell r="BT25">
            <v>699.173</v>
          </cell>
          <cell r="BU25">
            <v>0</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v>0</v>
          </cell>
          <cell r="J26">
            <v>0</v>
          </cell>
          <cell r="K26">
            <v>0</v>
          </cell>
          <cell r="L26">
            <v>0</v>
          </cell>
          <cell r="M26">
            <v>0</v>
          </cell>
          <cell r="N26">
            <v>0</v>
          </cell>
          <cell r="O26">
            <v>0</v>
          </cell>
          <cell r="P26">
            <v>0</v>
          </cell>
          <cell r="S26">
            <v>2.4900000000000002</v>
          </cell>
          <cell r="T26">
            <v>98</v>
          </cell>
          <cell r="U26">
            <v>976</v>
          </cell>
          <cell r="V26">
            <v>0.68799999999999994</v>
          </cell>
          <cell r="X26">
            <v>0</v>
          </cell>
          <cell r="Y26">
            <v>0</v>
          </cell>
          <cell r="AA26">
            <v>0</v>
          </cell>
          <cell r="AB26">
            <v>0</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v>0</v>
          </cell>
          <cell r="BH26">
            <v>0</v>
          </cell>
          <cell r="BI26">
            <v>0</v>
          </cell>
          <cell r="BJ26">
            <v>0</v>
          </cell>
          <cell r="BK26">
            <v>0</v>
          </cell>
          <cell r="BL26">
            <v>0</v>
          </cell>
          <cell r="BM26">
            <v>0</v>
          </cell>
          <cell r="BN26">
            <v>0.03</v>
          </cell>
          <cell r="BO26">
            <v>697.75299999999993</v>
          </cell>
          <cell r="BP26">
            <v>692.27299999999991</v>
          </cell>
          <cell r="BQ26">
            <v>697.95299999999997</v>
          </cell>
          <cell r="BR26">
            <v>692.47299999999996</v>
          </cell>
          <cell r="BS26">
            <v>699.173</v>
          </cell>
          <cell r="BT26">
            <v>693.673</v>
          </cell>
          <cell r="BU26">
            <v>0</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v>0</v>
          </cell>
          <cell r="J27">
            <v>0</v>
          </cell>
          <cell r="K27">
            <v>0</v>
          </cell>
          <cell r="L27">
            <v>0</v>
          </cell>
          <cell r="M27">
            <v>0</v>
          </cell>
          <cell r="N27">
            <v>0</v>
          </cell>
          <cell r="O27">
            <v>0</v>
          </cell>
          <cell r="P27">
            <v>0</v>
          </cell>
          <cell r="R27">
            <v>1.82</v>
          </cell>
          <cell r="S27">
            <v>4.3100000000000005</v>
          </cell>
          <cell r="T27">
            <v>98</v>
          </cell>
          <cell r="U27">
            <v>1689</v>
          </cell>
          <cell r="V27">
            <v>0.68799999999999994</v>
          </cell>
          <cell r="X27">
            <v>0</v>
          </cell>
          <cell r="Y27">
            <v>0</v>
          </cell>
          <cell r="AA27">
            <v>0</v>
          </cell>
          <cell r="AB27">
            <v>0</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v>0</v>
          </cell>
          <cell r="BH27">
            <v>0</v>
          </cell>
          <cell r="BI27">
            <v>0</v>
          </cell>
          <cell r="BJ27">
            <v>0</v>
          </cell>
          <cell r="BK27">
            <v>0</v>
          </cell>
          <cell r="BL27">
            <v>0</v>
          </cell>
          <cell r="BM27">
            <v>0</v>
          </cell>
          <cell r="BN27">
            <v>0.02</v>
          </cell>
          <cell r="BO27">
            <v>692.25299999999993</v>
          </cell>
          <cell r="BP27">
            <v>691.35299999999995</v>
          </cell>
          <cell r="BQ27">
            <v>692.45299999999997</v>
          </cell>
          <cell r="BR27">
            <v>691.553</v>
          </cell>
          <cell r="BS27">
            <v>693.673</v>
          </cell>
          <cell r="BT27">
            <v>692.75300000000016</v>
          </cell>
          <cell r="BU27">
            <v>0</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v>0</v>
          </cell>
          <cell r="J28">
            <v>0</v>
          </cell>
          <cell r="K28">
            <v>0</v>
          </cell>
          <cell r="L28">
            <v>0</v>
          </cell>
          <cell r="M28">
            <v>0</v>
          </cell>
          <cell r="N28">
            <v>0</v>
          </cell>
          <cell r="O28">
            <v>0</v>
          </cell>
          <cell r="P28">
            <v>0</v>
          </cell>
          <cell r="S28">
            <v>4.3100000000000005</v>
          </cell>
          <cell r="T28">
            <v>98</v>
          </cell>
          <cell r="U28">
            <v>1689</v>
          </cell>
          <cell r="V28">
            <v>0.68799999999999994</v>
          </cell>
          <cell r="X28">
            <v>0</v>
          </cell>
          <cell r="Y28">
            <v>0</v>
          </cell>
          <cell r="AA28">
            <v>0</v>
          </cell>
          <cell r="AB28">
            <v>0</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v>0</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v>0</v>
          </cell>
          <cell r="J29">
            <v>0</v>
          </cell>
          <cell r="K29">
            <v>0</v>
          </cell>
          <cell r="L29">
            <v>0</v>
          </cell>
          <cell r="M29">
            <v>0</v>
          </cell>
          <cell r="N29">
            <v>0</v>
          </cell>
          <cell r="O29">
            <v>0</v>
          </cell>
          <cell r="P29">
            <v>0</v>
          </cell>
          <cell r="S29">
            <v>4.3100000000000005</v>
          </cell>
          <cell r="T29">
            <v>98</v>
          </cell>
          <cell r="U29">
            <v>1689</v>
          </cell>
          <cell r="V29">
            <v>0.68799999999999994</v>
          </cell>
          <cell r="X29">
            <v>0</v>
          </cell>
          <cell r="Y29">
            <v>0</v>
          </cell>
          <cell r="AA29">
            <v>0</v>
          </cell>
          <cell r="AB29">
            <v>0</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v>0</v>
          </cell>
          <cell r="BH29">
            <v>0</v>
          </cell>
          <cell r="BI29">
            <v>0</v>
          </cell>
          <cell r="BJ29">
            <v>0</v>
          </cell>
          <cell r="BK29">
            <v>0</v>
          </cell>
          <cell r="BL29">
            <v>0</v>
          </cell>
          <cell r="BM29">
            <v>0</v>
          </cell>
          <cell r="BN29">
            <v>0.11</v>
          </cell>
          <cell r="BO29">
            <v>687.76299999999992</v>
          </cell>
          <cell r="BP29">
            <v>686.9129999999999</v>
          </cell>
          <cell r="BQ29">
            <v>687.96299999999997</v>
          </cell>
          <cell r="BR29">
            <v>687.11299999999994</v>
          </cell>
          <cell r="BS29">
            <v>689.22299999999996</v>
          </cell>
          <cell r="BT29">
            <v>688.11300000000006</v>
          </cell>
          <cell r="BU29">
            <v>0</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v>0</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v>0</v>
          </cell>
          <cell r="AA30">
            <v>0</v>
          </cell>
          <cell r="AB30">
            <v>0</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v>0</v>
          </cell>
          <cell r="AP30">
            <v>0</v>
          </cell>
          <cell r="AQ30">
            <v>0</v>
          </cell>
          <cell r="AR30">
            <v>0</v>
          </cell>
          <cell r="AS30">
            <v>0</v>
          </cell>
          <cell r="AT30">
            <v>0</v>
          </cell>
          <cell r="AU30">
            <v>0</v>
          </cell>
          <cell r="AV30">
            <v>1.1671964236528531</v>
          </cell>
          <cell r="AW30">
            <v>185.63457031085673</v>
          </cell>
          <cell r="AX30">
            <v>0</v>
          </cell>
          <cell r="AY30">
            <v>120.48880343979978</v>
          </cell>
          <cell r="AZ30" t="str">
            <v>46°26'13''</v>
          </cell>
          <cell r="BA30">
            <v>3.1081370028379447</v>
          </cell>
          <cell r="BB30">
            <v>0</v>
          </cell>
          <cell r="BC30">
            <v>0</v>
          </cell>
          <cell r="BD30">
            <v>0</v>
          </cell>
          <cell r="BE30">
            <v>0</v>
          </cell>
          <cell r="BF30">
            <v>0</v>
          </cell>
          <cell r="BG30">
            <v>0.83695201556002952</v>
          </cell>
          <cell r="BH30">
            <v>2.6666666666666665</v>
          </cell>
          <cell r="BI30">
            <v>1.2</v>
          </cell>
          <cell r="BJ30">
            <v>0</v>
          </cell>
          <cell r="BK30">
            <v>0</v>
          </cell>
          <cell r="BL30">
            <v>0</v>
          </cell>
          <cell r="BM30">
            <v>1.1004840207873858</v>
          </cell>
          <cell r="BN30">
            <v>0</v>
          </cell>
          <cell r="BO30">
            <v>686.87299999999993</v>
          </cell>
          <cell r="BP30">
            <v>686.51299999999992</v>
          </cell>
          <cell r="BQ30">
            <v>687.32299999999998</v>
          </cell>
          <cell r="BR30">
            <v>686.96299999999997</v>
          </cell>
          <cell r="BS30">
            <v>688.11300000000006</v>
          </cell>
          <cell r="BT30">
            <v>689.41300000000001</v>
          </cell>
          <cell r="BU30">
            <v>0</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v>0</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v>0</v>
          </cell>
          <cell r="AA31">
            <v>0</v>
          </cell>
          <cell r="AB31">
            <v>0</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v>0</v>
          </cell>
          <cell r="AP31">
            <v>0</v>
          </cell>
          <cell r="AQ31">
            <v>0</v>
          </cell>
          <cell r="AR31">
            <v>0</v>
          </cell>
          <cell r="AS31">
            <v>0</v>
          </cell>
          <cell r="AT31">
            <v>0</v>
          </cell>
          <cell r="AU31">
            <v>0</v>
          </cell>
          <cell r="AV31">
            <v>1.1671964236528531</v>
          </cell>
          <cell r="AW31">
            <v>185.63457031085673</v>
          </cell>
          <cell r="AX31">
            <v>0</v>
          </cell>
          <cell r="AY31">
            <v>171.69793098169856</v>
          </cell>
          <cell r="AZ31" t="str">
            <v>51°12'33''</v>
          </cell>
          <cell r="BA31">
            <v>2.7823125836732552</v>
          </cell>
          <cell r="BB31">
            <v>0</v>
          </cell>
          <cell r="BC31">
            <v>0</v>
          </cell>
          <cell r="BD31">
            <v>0</v>
          </cell>
          <cell r="BE31">
            <v>0</v>
          </cell>
          <cell r="BF31">
            <v>0</v>
          </cell>
          <cell r="BG31">
            <v>0.83697043360582635</v>
          </cell>
          <cell r="BH31">
            <v>2.6666666666666665</v>
          </cell>
          <cell r="BI31">
            <v>1.2</v>
          </cell>
          <cell r="BJ31">
            <v>0</v>
          </cell>
          <cell r="BK31">
            <v>0</v>
          </cell>
          <cell r="BL31">
            <v>0</v>
          </cell>
          <cell r="BM31">
            <v>1.1005158192416571</v>
          </cell>
          <cell r="BN31">
            <v>0</v>
          </cell>
          <cell r="BO31">
            <v>686.51299999999992</v>
          </cell>
          <cell r="BP31">
            <v>686.47299999999996</v>
          </cell>
          <cell r="BQ31">
            <v>686.96299999999997</v>
          </cell>
          <cell r="BR31">
            <v>686.923</v>
          </cell>
          <cell r="BS31">
            <v>689.41300000000001</v>
          </cell>
          <cell r="BT31">
            <v>689.03300000000013</v>
          </cell>
          <cell r="BU31">
            <v>0</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v>0</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v>0</v>
          </cell>
          <cell r="AA32">
            <v>0</v>
          </cell>
          <cell r="AB32">
            <v>0</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v>0</v>
          </cell>
          <cell r="AP32">
            <v>0</v>
          </cell>
          <cell r="AQ32">
            <v>0</v>
          </cell>
          <cell r="AR32">
            <v>0</v>
          </cell>
          <cell r="AS32">
            <v>0</v>
          </cell>
          <cell r="AT32">
            <v>0</v>
          </cell>
          <cell r="AU32">
            <v>0</v>
          </cell>
          <cell r="AV32">
            <v>10.554935394568046</v>
          </cell>
          <cell r="AW32">
            <v>1678.6899419186741</v>
          </cell>
          <cell r="AX32">
            <v>0</v>
          </cell>
          <cell r="AY32">
            <v>150.5004077340291</v>
          </cell>
          <cell r="AZ32" t="str">
            <v>21°11'51''</v>
          </cell>
          <cell r="BA32">
            <v>7.1254554098055687</v>
          </cell>
          <cell r="BB32">
            <v>0</v>
          </cell>
          <cell r="BC32">
            <v>0</v>
          </cell>
          <cell r="BD32">
            <v>0</v>
          </cell>
          <cell r="BE32">
            <v>0</v>
          </cell>
          <cell r="BF32">
            <v>0</v>
          </cell>
          <cell r="BG32">
            <v>0</v>
          </cell>
          <cell r="BH32">
            <v>0</v>
          </cell>
          <cell r="BI32">
            <v>0</v>
          </cell>
          <cell r="BJ32">
            <v>0</v>
          </cell>
          <cell r="BK32">
            <v>0</v>
          </cell>
          <cell r="BL32">
            <v>0</v>
          </cell>
          <cell r="BM32">
            <v>0</v>
          </cell>
          <cell r="BN32">
            <v>0.1</v>
          </cell>
          <cell r="BO32">
            <v>686.37299999999993</v>
          </cell>
          <cell r="BP32">
            <v>684.2829999999999</v>
          </cell>
          <cell r="BQ32">
            <v>686.82299999999998</v>
          </cell>
          <cell r="BR32">
            <v>684.73299999999995</v>
          </cell>
          <cell r="BS32">
            <v>689.03300000000013</v>
          </cell>
          <cell r="BT32">
            <v>684.62300000000005</v>
          </cell>
          <cell r="BU32">
            <v>0</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v>0</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v>0</v>
          </cell>
          <cell r="AA33">
            <v>0</v>
          </cell>
          <cell r="AB33">
            <v>0</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v>0</v>
          </cell>
          <cell r="AP33">
            <v>0</v>
          </cell>
          <cell r="AQ33">
            <v>0</v>
          </cell>
          <cell r="AR33">
            <v>0</v>
          </cell>
          <cell r="AS33">
            <v>0</v>
          </cell>
          <cell r="AT33">
            <v>0</v>
          </cell>
          <cell r="AU33">
            <v>0</v>
          </cell>
          <cell r="AV33">
            <v>8.5185595128479807</v>
          </cell>
          <cell r="AW33">
            <v>1354.8183517269902</v>
          </cell>
          <cell r="AX33">
            <v>0</v>
          </cell>
          <cell r="AY33">
            <v>150.4994376613574</v>
          </cell>
          <cell r="AZ33" t="str">
            <v>00°00'00''</v>
          </cell>
          <cell r="BA33">
            <v>1000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683.88299999999992</v>
          </cell>
          <cell r="BP33">
            <v>682.83299999999997</v>
          </cell>
          <cell r="BQ33">
            <v>684.33299999999997</v>
          </cell>
          <cell r="BR33">
            <v>683.28300000000002</v>
          </cell>
          <cell r="BS33">
            <v>684.62300000000005</v>
          </cell>
          <cell r="BT33">
            <v>683.44299999999998</v>
          </cell>
          <cell r="BU33">
            <v>0</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v>0</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v>0</v>
          </cell>
          <cell r="AA34">
            <v>0</v>
          </cell>
          <cell r="AB34">
            <v>0</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v>0</v>
          </cell>
          <cell r="AP34">
            <v>0</v>
          </cell>
          <cell r="AQ34">
            <v>0</v>
          </cell>
          <cell r="AR34">
            <v>0</v>
          </cell>
          <cell r="AS34">
            <v>0</v>
          </cell>
          <cell r="AT34">
            <v>0</v>
          </cell>
          <cell r="AU34">
            <v>0</v>
          </cell>
          <cell r="AV34">
            <v>1.3129305471944275</v>
          </cell>
          <cell r="AW34">
            <v>208.81258118806932</v>
          </cell>
          <cell r="AX34">
            <v>0</v>
          </cell>
          <cell r="AY34">
            <v>208.24170826422633</v>
          </cell>
          <cell r="AZ34" t="str">
            <v>57°44'32''</v>
          </cell>
          <cell r="BA34">
            <v>2.4182077430262381</v>
          </cell>
          <cell r="BB34">
            <v>0</v>
          </cell>
          <cell r="BC34">
            <v>0</v>
          </cell>
          <cell r="BD34">
            <v>0</v>
          </cell>
          <cell r="BE34">
            <v>0</v>
          </cell>
          <cell r="BF34">
            <v>0</v>
          </cell>
          <cell r="BG34">
            <v>0.87273757721530154</v>
          </cell>
          <cell r="BH34">
            <v>2.6666666666666665</v>
          </cell>
          <cell r="BI34">
            <v>1.2</v>
          </cell>
          <cell r="BJ34">
            <v>0</v>
          </cell>
          <cell r="BK34">
            <v>0</v>
          </cell>
          <cell r="BL34">
            <v>0</v>
          </cell>
          <cell r="BM34">
            <v>1.1635873442743006</v>
          </cell>
          <cell r="BN34">
            <v>0</v>
          </cell>
          <cell r="BO34">
            <v>683.00299999999993</v>
          </cell>
          <cell r="BP34">
            <v>682.60299999999995</v>
          </cell>
          <cell r="BQ34">
            <v>683.45299999999997</v>
          </cell>
          <cell r="BR34">
            <v>683.053</v>
          </cell>
          <cell r="BS34">
            <v>683.44299999999998</v>
          </cell>
          <cell r="BT34">
            <v>684.57300000000009</v>
          </cell>
          <cell r="BU34">
            <v>0</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v>0</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v>0</v>
          </cell>
          <cell r="AA35">
            <v>0</v>
          </cell>
          <cell r="AB35">
            <v>0</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v>0</v>
          </cell>
          <cell r="AP35">
            <v>0</v>
          </cell>
          <cell r="AQ35">
            <v>0</v>
          </cell>
          <cell r="AR35">
            <v>0</v>
          </cell>
          <cell r="AS35">
            <v>0</v>
          </cell>
          <cell r="AT35">
            <v>0</v>
          </cell>
          <cell r="AU35">
            <v>0</v>
          </cell>
          <cell r="AV35">
            <v>9.2051959495256561</v>
          </cell>
          <cell r="AW35">
            <v>3542.5745563108298</v>
          </cell>
          <cell r="AX35">
            <v>0</v>
          </cell>
          <cell r="AY35">
            <v>114.73554446443033</v>
          </cell>
          <cell r="AZ35" t="str">
            <v>93°30'22''</v>
          </cell>
          <cell r="BA35">
            <v>1.0077907318737453</v>
          </cell>
          <cell r="BB35">
            <v>0</v>
          </cell>
          <cell r="BC35">
            <v>0</v>
          </cell>
          <cell r="BD35">
            <v>0</v>
          </cell>
          <cell r="BE35">
            <v>0</v>
          </cell>
          <cell r="BF35">
            <v>0</v>
          </cell>
          <cell r="BG35">
            <v>0.9343476434955017</v>
          </cell>
          <cell r="BH35">
            <v>2.1428571428571428</v>
          </cell>
          <cell r="BI35">
            <v>1.2</v>
          </cell>
          <cell r="BJ35">
            <v>0</v>
          </cell>
          <cell r="BK35">
            <v>0</v>
          </cell>
          <cell r="BL35">
            <v>0</v>
          </cell>
          <cell r="BM35">
            <v>1.9886500545321404</v>
          </cell>
          <cell r="BN35">
            <v>0</v>
          </cell>
          <cell r="BO35">
            <v>683.40299999999991</v>
          </cell>
          <cell r="BP35">
            <v>680.59299999999996</v>
          </cell>
          <cell r="BQ35">
            <v>684.10299999999995</v>
          </cell>
          <cell r="BR35">
            <v>681.29300000000001</v>
          </cell>
          <cell r="BS35">
            <v>684.57300000000009</v>
          </cell>
          <cell r="BT35">
            <v>679.55300000000011</v>
          </cell>
          <cell r="BU35">
            <v>0</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v>0</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v>0</v>
          </cell>
          <cell r="AA36">
            <v>0</v>
          </cell>
          <cell r="AB36">
            <v>0</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v>0</v>
          </cell>
          <cell r="AP36">
            <v>0</v>
          </cell>
          <cell r="AQ36">
            <v>0</v>
          </cell>
          <cell r="AR36">
            <v>0</v>
          </cell>
          <cell r="AS36">
            <v>0</v>
          </cell>
          <cell r="AT36">
            <v>0</v>
          </cell>
          <cell r="AU36">
            <v>0</v>
          </cell>
          <cell r="AV36">
            <v>10.915187647171557</v>
          </cell>
          <cell r="AW36">
            <v>4200.6564823012577</v>
          </cell>
          <cell r="AX36">
            <v>0</v>
          </cell>
          <cell r="AY36">
            <v>114.73715898942989</v>
          </cell>
          <cell r="AZ36" t="str">
            <v>00°00'00''</v>
          </cell>
          <cell r="BA36">
            <v>1000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680.59299999999996</v>
          </cell>
          <cell r="BP36">
            <v>676.18299999999999</v>
          </cell>
          <cell r="BQ36">
            <v>681.29300000000001</v>
          </cell>
          <cell r="BR36">
            <v>676.88300000000004</v>
          </cell>
          <cell r="BS36">
            <v>679.55300000000011</v>
          </cell>
          <cell r="BT36">
            <v>674.35300000000007</v>
          </cell>
          <cell r="BU36">
            <v>0</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v>0</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v>0</v>
          </cell>
          <cell r="AA37">
            <v>0</v>
          </cell>
          <cell r="AB37">
            <v>0</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v>0</v>
          </cell>
          <cell r="AP37">
            <v>0</v>
          </cell>
          <cell r="AQ37">
            <v>0</v>
          </cell>
          <cell r="AR37">
            <v>0</v>
          </cell>
          <cell r="AS37">
            <v>0</v>
          </cell>
          <cell r="AT37">
            <v>0</v>
          </cell>
          <cell r="AU37">
            <v>0</v>
          </cell>
          <cell r="AV37">
            <v>6.630265807271055</v>
          </cell>
          <cell r="AW37">
            <v>1874.6634916323314</v>
          </cell>
          <cell r="AX37">
            <v>0</v>
          </cell>
          <cell r="AY37">
            <v>99.698075365859424</v>
          </cell>
          <cell r="AZ37" t="str">
            <v>15°02'21''</v>
          </cell>
          <cell r="BA37">
            <v>9.4697332935740395</v>
          </cell>
          <cell r="BB37">
            <v>0</v>
          </cell>
          <cell r="BC37">
            <v>0</v>
          </cell>
          <cell r="BD37">
            <v>0</v>
          </cell>
          <cell r="BE37">
            <v>0</v>
          </cell>
          <cell r="BF37">
            <v>0</v>
          </cell>
          <cell r="BG37">
            <v>0</v>
          </cell>
          <cell r="BH37">
            <v>0</v>
          </cell>
          <cell r="BI37">
            <v>0</v>
          </cell>
          <cell r="BJ37">
            <v>0</v>
          </cell>
          <cell r="BK37">
            <v>0</v>
          </cell>
          <cell r="BL37">
            <v>0</v>
          </cell>
          <cell r="BM37">
            <v>0</v>
          </cell>
          <cell r="BN37">
            <v>0</v>
          </cell>
          <cell r="BO37">
            <v>676.18299999999999</v>
          </cell>
          <cell r="BP37">
            <v>674.65300000000002</v>
          </cell>
          <cell r="BQ37">
            <v>676.78300000000002</v>
          </cell>
          <cell r="BR37">
            <v>675.25300000000004</v>
          </cell>
          <cell r="BS37">
            <v>674.35300000000007</v>
          </cell>
          <cell r="BT37">
            <v>672.02300000000014</v>
          </cell>
          <cell r="BU37">
            <v>0</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J38">
            <v>1.74</v>
          </cell>
          <cell r="AK38">
            <v>12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674.87300000000005</v>
          </cell>
          <cell r="BP38">
            <v>0</v>
          </cell>
          <cell r="BQ38">
            <v>674.87300000000005</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v>0</v>
          </cell>
          <cell r="G39">
            <v>0</v>
          </cell>
          <cell r="J39">
            <v>0</v>
          </cell>
          <cell r="K39">
            <v>0</v>
          </cell>
          <cell r="L39">
            <v>0</v>
          </cell>
          <cell r="M39">
            <v>0</v>
          </cell>
          <cell r="N39">
            <v>0</v>
          </cell>
          <cell r="O39">
            <v>0</v>
          </cell>
          <cell r="P39">
            <v>0</v>
          </cell>
          <cell r="S39">
            <v>0</v>
          </cell>
          <cell r="U39">
            <v>0</v>
          </cell>
          <cell r="X39">
            <v>0</v>
          </cell>
          <cell r="Y39">
            <v>0</v>
          </cell>
          <cell r="AA39">
            <v>0</v>
          </cell>
          <cell r="AB39">
            <v>0</v>
          </cell>
          <cell r="AC39">
            <v>0</v>
          </cell>
          <cell r="AD39">
            <v>0</v>
          </cell>
          <cell r="AE39">
            <v>0</v>
          </cell>
          <cell r="AF39">
            <v>0</v>
          </cell>
          <cell r="AG39">
            <v>0</v>
          </cell>
          <cell r="AH39">
            <v>0</v>
          </cell>
          <cell r="AI39">
            <v>0</v>
          </cell>
          <cell r="AJ39">
            <v>22.27</v>
          </cell>
          <cell r="AK39">
            <v>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v>0</v>
          </cell>
          <cell r="F40">
            <v>0</v>
          </cell>
          <cell r="G40">
            <v>0</v>
          </cell>
          <cell r="J40">
            <v>0</v>
          </cell>
          <cell r="K40">
            <v>0</v>
          </cell>
          <cell r="L40">
            <v>0</v>
          </cell>
          <cell r="M40">
            <v>0</v>
          </cell>
          <cell r="N40">
            <v>0</v>
          </cell>
          <cell r="O40">
            <v>0</v>
          </cell>
          <cell r="P40">
            <v>0</v>
          </cell>
          <cell r="S40">
            <v>0</v>
          </cell>
          <cell r="U40">
            <v>0</v>
          </cell>
          <cell r="X40">
            <v>0</v>
          </cell>
          <cell r="Y40">
            <v>0</v>
          </cell>
          <cell r="AA40">
            <v>0</v>
          </cell>
          <cell r="AB40">
            <v>0</v>
          </cell>
          <cell r="AC40">
            <v>0</v>
          </cell>
          <cell r="AD40">
            <v>0</v>
          </cell>
          <cell r="AE40">
            <v>0</v>
          </cell>
          <cell r="AF40">
            <v>0</v>
          </cell>
          <cell r="AG40">
            <v>0</v>
          </cell>
          <cell r="AH40">
            <v>0</v>
          </cell>
          <cell r="AI40">
            <v>0</v>
          </cell>
          <cell r="AJ40">
            <v>22.35</v>
          </cell>
          <cell r="AK40">
            <v>8</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v>0</v>
          </cell>
          <cell r="J41">
            <v>0</v>
          </cell>
          <cell r="K41">
            <v>0</v>
          </cell>
          <cell r="L41">
            <v>0</v>
          </cell>
          <cell r="M41">
            <v>0</v>
          </cell>
          <cell r="N41">
            <v>0</v>
          </cell>
          <cell r="O41">
            <v>0</v>
          </cell>
          <cell r="P41">
            <v>0</v>
          </cell>
          <cell r="Q41">
            <v>0.4</v>
          </cell>
          <cell r="S41">
            <v>0.4</v>
          </cell>
          <cell r="T41">
            <v>98</v>
          </cell>
          <cell r="U41">
            <v>157</v>
          </cell>
          <cell r="V41">
            <v>0.68799999999999994</v>
          </cell>
          <cell r="X41">
            <v>0</v>
          </cell>
          <cell r="Y41">
            <v>0</v>
          </cell>
          <cell r="AA41">
            <v>0</v>
          </cell>
          <cell r="AB41">
            <v>0</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v>0</v>
          </cell>
          <cell r="BB41">
            <v>1E-3</v>
          </cell>
          <cell r="BC41">
            <v>0</v>
          </cell>
          <cell r="BD41">
            <v>0</v>
          </cell>
          <cell r="BE41">
            <v>1E-3</v>
          </cell>
          <cell r="BF41">
            <v>0</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v>0</v>
          </cell>
          <cell r="J42">
            <v>0</v>
          </cell>
          <cell r="K42">
            <v>0</v>
          </cell>
          <cell r="L42">
            <v>0</v>
          </cell>
          <cell r="M42">
            <v>0</v>
          </cell>
          <cell r="N42">
            <v>0</v>
          </cell>
          <cell r="O42">
            <v>0</v>
          </cell>
          <cell r="P42">
            <v>0</v>
          </cell>
          <cell r="S42">
            <v>0.4</v>
          </cell>
          <cell r="T42">
            <v>98</v>
          </cell>
          <cell r="U42">
            <v>157</v>
          </cell>
          <cell r="V42">
            <v>0.68799999999999994</v>
          </cell>
          <cell r="X42">
            <v>0</v>
          </cell>
          <cell r="Y42">
            <v>0</v>
          </cell>
          <cell r="AA42">
            <v>0</v>
          </cell>
          <cell r="AB42">
            <v>0</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v>0</v>
          </cell>
          <cell r="BH42">
            <v>0</v>
          </cell>
          <cell r="BI42">
            <v>0</v>
          </cell>
          <cell r="BJ42">
            <v>0</v>
          </cell>
          <cell r="BK42">
            <v>0</v>
          </cell>
          <cell r="BL42">
            <v>0</v>
          </cell>
          <cell r="BM42">
            <v>0</v>
          </cell>
          <cell r="BN42">
            <v>0.03</v>
          </cell>
          <cell r="BO42">
            <v>698.82299999999987</v>
          </cell>
          <cell r="BP42">
            <v>695.51299999999992</v>
          </cell>
          <cell r="BQ42">
            <v>699.02299999999991</v>
          </cell>
          <cell r="BR42">
            <v>695.71299999999997</v>
          </cell>
          <cell r="BS42">
            <v>699.85300000000007</v>
          </cell>
          <cell r="BT42">
            <v>696.53300000000013</v>
          </cell>
          <cell r="BU42">
            <v>0</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v>0</v>
          </cell>
          <cell r="J43">
            <v>0</v>
          </cell>
          <cell r="K43">
            <v>0</v>
          </cell>
          <cell r="L43">
            <v>0</v>
          </cell>
          <cell r="M43">
            <v>0</v>
          </cell>
          <cell r="N43">
            <v>0</v>
          </cell>
          <cell r="O43">
            <v>0</v>
          </cell>
          <cell r="P43">
            <v>0</v>
          </cell>
          <cell r="S43">
            <v>0.4</v>
          </cell>
          <cell r="T43">
            <v>98</v>
          </cell>
          <cell r="U43">
            <v>157</v>
          </cell>
          <cell r="V43">
            <v>0.68799999999999994</v>
          </cell>
          <cell r="X43">
            <v>0</v>
          </cell>
          <cell r="Y43">
            <v>0</v>
          </cell>
          <cell r="AA43">
            <v>0</v>
          </cell>
          <cell r="AB43">
            <v>0</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v>0</v>
          </cell>
          <cell r="BH43">
            <v>0</v>
          </cell>
          <cell r="BI43">
            <v>0</v>
          </cell>
          <cell r="BJ43">
            <v>0</v>
          </cell>
          <cell r="BK43">
            <v>0</v>
          </cell>
          <cell r="BL43">
            <v>0</v>
          </cell>
          <cell r="BM43">
            <v>0</v>
          </cell>
          <cell r="BN43">
            <v>0.01</v>
          </cell>
          <cell r="BO43">
            <v>695.50299999999993</v>
          </cell>
          <cell r="BP43">
            <v>692.20299999999997</v>
          </cell>
          <cell r="BQ43">
            <v>695.70299999999997</v>
          </cell>
          <cell r="BR43">
            <v>692.40300000000002</v>
          </cell>
          <cell r="BS43">
            <v>696.53300000000013</v>
          </cell>
          <cell r="BT43">
            <v>693.23299999999995</v>
          </cell>
          <cell r="BU43">
            <v>0</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v>0</v>
          </cell>
          <cell r="J44">
            <v>0</v>
          </cell>
          <cell r="K44">
            <v>0</v>
          </cell>
          <cell r="L44">
            <v>0</v>
          </cell>
          <cell r="M44">
            <v>0</v>
          </cell>
          <cell r="N44">
            <v>0</v>
          </cell>
          <cell r="O44">
            <v>0</v>
          </cell>
          <cell r="P44">
            <v>0</v>
          </cell>
          <cell r="S44">
            <v>0.4</v>
          </cell>
          <cell r="T44">
            <v>98</v>
          </cell>
          <cell r="U44">
            <v>157</v>
          </cell>
          <cell r="V44">
            <v>0.68799999999999994</v>
          </cell>
          <cell r="X44">
            <v>0</v>
          </cell>
          <cell r="Y44">
            <v>0</v>
          </cell>
          <cell r="AA44">
            <v>0</v>
          </cell>
          <cell r="AB44">
            <v>0</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v>0</v>
          </cell>
          <cell r="BH44">
            <v>0</v>
          </cell>
          <cell r="BI44">
            <v>0</v>
          </cell>
          <cell r="BJ44">
            <v>0</v>
          </cell>
          <cell r="BK44">
            <v>0</v>
          </cell>
          <cell r="BL44">
            <v>0</v>
          </cell>
          <cell r="BM44">
            <v>0</v>
          </cell>
          <cell r="BN44">
            <v>0.01</v>
          </cell>
          <cell r="BO44">
            <v>692.19299999999998</v>
          </cell>
          <cell r="BP44">
            <v>691.69299999999998</v>
          </cell>
          <cell r="BQ44">
            <v>692.39300000000003</v>
          </cell>
          <cell r="BR44">
            <v>691.89300000000003</v>
          </cell>
          <cell r="BS44">
            <v>693.23299999999995</v>
          </cell>
          <cell r="BT44">
            <v>692.71299999999997</v>
          </cell>
          <cell r="BU44">
            <v>0</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v>0</v>
          </cell>
          <cell r="J45">
            <v>0</v>
          </cell>
          <cell r="K45">
            <v>0</v>
          </cell>
          <cell r="L45">
            <v>0</v>
          </cell>
          <cell r="M45">
            <v>0</v>
          </cell>
          <cell r="N45">
            <v>0</v>
          </cell>
          <cell r="O45">
            <v>0</v>
          </cell>
          <cell r="P45">
            <v>0</v>
          </cell>
          <cell r="Q45">
            <v>0.37</v>
          </cell>
          <cell r="S45">
            <v>0.77</v>
          </cell>
          <cell r="T45">
            <v>98</v>
          </cell>
          <cell r="U45">
            <v>302</v>
          </cell>
          <cell r="V45">
            <v>0.68799999999999994</v>
          </cell>
          <cell r="X45">
            <v>0</v>
          </cell>
          <cell r="Y45">
            <v>0</v>
          </cell>
          <cell r="AA45">
            <v>0</v>
          </cell>
          <cell r="AB45">
            <v>0</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v>0</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v>0</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J46">
            <v>16.149999999999999</v>
          </cell>
          <cell r="AK46">
            <v>8</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691.31299999999999</v>
          </cell>
          <cell r="BP46">
            <v>0</v>
          </cell>
          <cell r="BQ46">
            <v>691.31299999999999</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v>0</v>
          </cell>
          <cell r="F47">
            <v>0</v>
          </cell>
          <cell r="G47">
            <v>0</v>
          </cell>
          <cell r="J47">
            <v>0</v>
          </cell>
          <cell r="K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J47">
            <v>2.12</v>
          </cell>
          <cell r="AK47">
            <v>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-0.09</v>
          </cell>
          <cell r="BP47">
            <v>0</v>
          </cell>
          <cell r="BQ47">
            <v>-0.09</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v>0</v>
          </cell>
          <cell r="J48">
            <v>0</v>
          </cell>
          <cell r="K48">
            <v>0</v>
          </cell>
          <cell r="L48">
            <v>0</v>
          </cell>
          <cell r="M48">
            <v>0</v>
          </cell>
          <cell r="N48">
            <v>0</v>
          </cell>
          <cell r="O48">
            <v>0</v>
          </cell>
          <cell r="P48">
            <v>0</v>
          </cell>
          <cell r="Q48">
            <v>0.06</v>
          </cell>
          <cell r="S48">
            <v>0.06</v>
          </cell>
          <cell r="T48">
            <v>98</v>
          </cell>
          <cell r="U48">
            <v>24</v>
          </cell>
          <cell r="V48">
            <v>0.68799999999999994</v>
          </cell>
          <cell r="X48">
            <v>0</v>
          </cell>
          <cell r="Y48">
            <v>0</v>
          </cell>
          <cell r="AA48">
            <v>0</v>
          </cell>
          <cell r="AB48">
            <v>0</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v>0</v>
          </cell>
          <cell r="BB48">
            <v>1E-3</v>
          </cell>
          <cell r="BC48">
            <v>0</v>
          </cell>
          <cell r="BD48">
            <v>0</v>
          </cell>
          <cell r="BE48">
            <v>1E-3</v>
          </cell>
          <cell r="BF48">
            <v>0</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v>0</v>
          </cell>
          <cell r="J49">
            <v>0</v>
          </cell>
          <cell r="K49">
            <v>0</v>
          </cell>
          <cell r="L49">
            <v>0</v>
          </cell>
          <cell r="M49">
            <v>0</v>
          </cell>
          <cell r="N49">
            <v>0</v>
          </cell>
          <cell r="O49">
            <v>0</v>
          </cell>
          <cell r="P49">
            <v>0</v>
          </cell>
          <cell r="Q49">
            <v>0.4</v>
          </cell>
          <cell r="S49">
            <v>0.46</v>
          </cell>
          <cell r="T49">
            <v>98</v>
          </cell>
          <cell r="U49">
            <v>181</v>
          </cell>
          <cell r="V49">
            <v>0.68799999999999994</v>
          </cell>
          <cell r="X49">
            <v>0</v>
          </cell>
          <cell r="Y49">
            <v>0</v>
          </cell>
          <cell r="AA49">
            <v>0</v>
          </cell>
          <cell r="AB49">
            <v>0</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v>0</v>
          </cell>
          <cell r="BH49">
            <v>0</v>
          </cell>
          <cell r="BI49">
            <v>0</v>
          </cell>
          <cell r="BJ49">
            <v>0</v>
          </cell>
          <cell r="BK49">
            <v>0</v>
          </cell>
          <cell r="BL49">
            <v>0</v>
          </cell>
          <cell r="BM49">
            <v>0</v>
          </cell>
          <cell r="BN49">
            <v>0.05</v>
          </cell>
          <cell r="BO49">
            <v>734.20299999999997</v>
          </cell>
          <cell r="BP49">
            <v>723.38299999999992</v>
          </cell>
          <cell r="BQ49">
            <v>734.40300000000002</v>
          </cell>
          <cell r="BR49">
            <v>723.58299999999997</v>
          </cell>
          <cell r="BS49">
            <v>735.45299999999997</v>
          </cell>
          <cell r="BT49">
            <v>724.58300000000008</v>
          </cell>
          <cell r="BU49">
            <v>0</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v>0</v>
          </cell>
          <cell r="J50">
            <v>0</v>
          </cell>
          <cell r="K50">
            <v>0</v>
          </cell>
          <cell r="L50">
            <v>0</v>
          </cell>
          <cell r="M50">
            <v>0</v>
          </cell>
          <cell r="N50">
            <v>0</v>
          </cell>
          <cell r="O50">
            <v>0</v>
          </cell>
          <cell r="P50">
            <v>0</v>
          </cell>
          <cell r="S50">
            <v>0.46</v>
          </cell>
          <cell r="T50">
            <v>98</v>
          </cell>
          <cell r="U50">
            <v>181</v>
          </cell>
          <cell r="V50">
            <v>0.68799999999999994</v>
          </cell>
          <cell r="X50">
            <v>0</v>
          </cell>
          <cell r="Y50">
            <v>0</v>
          </cell>
          <cell r="AA50">
            <v>0</v>
          </cell>
          <cell r="AB50">
            <v>0</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v>0</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v>0</v>
          </cell>
          <cell r="J51">
            <v>0</v>
          </cell>
          <cell r="K51">
            <v>0</v>
          </cell>
          <cell r="L51">
            <v>0</v>
          </cell>
          <cell r="M51">
            <v>0</v>
          </cell>
          <cell r="N51">
            <v>0</v>
          </cell>
          <cell r="O51">
            <v>0</v>
          </cell>
          <cell r="P51">
            <v>0</v>
          </cell>
          <cell r="Q51">
            <v>0.55000000000000004</v>
          </cell>
          <cell r="S51">
            <v>1.01</v>
          </cell>
          <cell r="T51">
            <v>98</v>
          </cell>
          <cell r="U51">
            <v>397</v>
          </cell>
          <cell r="V51">
            <v>0.68799999999999994</v>
          </cell>
          <cell r="X51">
            <v>0</v>
          </cell>
          <cell r="Y51">
            <v>0</v>
          </cell>
          <cell r="AA51">
            <v>0</v>
          </cell>
          <cell r="AB51">
            <v>0</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v>0</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v>0</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J52">
            <v>0.02</v>
          </cell>
          <cell r="AK52">
            <v>30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721.06299999999987</v>
          </cell>
          <cell r="BP52">
            <v>0</v>
          </cell>
          <cell r="BQ52">
            <v>721.06299999999987</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v>0</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J53">
            <v>0.02</v>
          </cell>
          <cell r="AK53">
            <v>30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v>0</v>
          </cell>
          <cell r="J54">
            <v>0</v>
          </cell>
          <cell r="L54">
            <v>0</v>
          </cell>
          <cell r="M54">
            <v>0</v>
          </cell>
          <cell r="N54">
            <v>0</v>
          </cell>
          <cell r="O54">
            <v>0</v>
          </cell>
          <cell r="P54">
            <v>0</v>
          </cell>
          <cell r="Q54">
            <v>0.13</v>
          </cell>
          <cell r="S54">
            <v>0.13</v>
          </cell>
          <cell r="T54">
            <v>98</v>
          </cell>
          <cell r="U54">
            <v>51</v>
          </cell>
          <cell r="V54">
            <v>0.68799999999999994</v>
          </cell>
          <cell r="X54">
            <v>0</v>
          </cell>
          <cell r="Y54">
            <v>0</v>
          </cell>
          <cell r="AA54">
            <v>0</v>
          </cell>
          <cell r="AB54">
            <v>0</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v>0</v>
          </cell>
          <cell r="BB54">
            <v>1E-3</v>
          </cell>
          <cell r="BC54">
            <v>0</v>
          </cell>
          <cell r="BD54">
            <v>0</v>
          </cell>
          <cell r="BE54">
            <v>1E-3</v>
          </cell>
          <cell r="BF54">
            <v>0</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v>0</v>
          </cell>
          <cell r="J55">
            <v>0</v>
          </cell>
          <cell r="L55">
            <v>0</v>
          </cell>
          <cell r="M55">
            <v>0</v>
          </cell>
          <cell r="N55">
            <v>0</v>
          </cell>
          <cell r="O55">
            <v>0</v>
          </cell>
          <cell r="P55">
            <v>0</v>
          </cell>
          <cell r="Q55">
            <v>0.09</v>
          </cell>
          <cell r="S55">
            <v>0.22</v>
          </cell>
          <cell r="U55">
            <v>51</v>
          </cell>
          <cell r="X55">
            <v>0</v>
          </cell>
          <cell r="Y55">
            <v>0</v>
          </cell>
          <cell r="AA55">
            <v>0</v>
          </cell>
          <cell r="AB55">
            <v>0</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v>0</v>
          </cell>
          <cell r="BH55">
            <v>0</v>
          </cell>
          <cell r="BI55">
            <v>0</v>
          </cell>
          <cell r="BJ55">
            <v>0</v>
          </cell>
          <cell r="BK55">
            <v>0</v>
          </cell>
          <cell r="BL55">
            <v>0</v>
          </cell>
          <cell r="BM55">
            <v>0</v>
          </cell>
          <cell r="BN55">
            <v>0.01</v>
          </cell>
          <cell r="BO55">
            <v>719.68299999999988</v>
          </cell>
          <cell r="BP55">
            <v>718.44299999999987</v>
          </cell>
          <cell r="BQ55">
            <v>719.88299999999992</v>
          </cell>
          <cell r="BR55">
            <v>718.64299999999992</v>
          </cell>
          <cell r="BS55">
            <v>722.99299999999994</v>
          </cell>
          <cell r="BT55">
            <v>719.75300000000016</v>
          </cell>
          <cell r="BU55">
            <v>0</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J56">
            <v>0.02</v>
          </cell>
          <cell r="AK56">
            <v>30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718.44299999999987</v>
          </cell>
          <cell r="BP56">
            <v>0</v>
          </cell>
          <cell r="BQ56">
            <v>718.44299999999987</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J57">
            <v>0.02</v>
          </cell>
          <cell r="AK57">
            <v>30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v>0</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J58">
            <v>0.02</v>
          </cell>
          <cell r="AK58">
            <v>30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v>0</v>
          </cell>
          <cell r="K59">
            <v>0.11460125141746949</v>
          </cell>
          <cell r="L59">
            <v>0.11460125141746949</v>
          </cell>
          <cell r="M59">
            <v>3</v>
          </cell>
          <cell r="N59">
            <v>471.90281881227315</v>
          </cell>
          <cell r="O59">
            <v>0.63012548262548296</v>
          </cell>
          <cell r="P59">
            <v>930.73051325856159</v>
          </cell>
          <cell r="S59">
            <v>0</v>
          </cell>
          <cell r="U59">
            <v>0</v>
          </cell>
          <cell r="X59">
            <v>0</v>
          </cell>
          <cell r="Y59">
            <v>0</v>
          </cell>
          <cell r="AA59">
            <v>0</v>
          </cell>
          <cell r="AB59">
            <v>0</v>
          </cell>
          <cell r="AC59">
            <v>0</v>
          </cell>
          <cell r="AD59">
            <v>0</v>
          </cell>
          <cell r="AE59">
            <v>0</v>
          </cell>
          <cell r="AF59">
            <v>0</v>
          </cell>
          <cell r="AG59">
            <v>0</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v>0</v>
          </cell>
          <cell r="BB59">
            <v>1E-3</v>
          </cell>
          <cell r="BC59">
            <v>0</v>
          </cell>
          <cell r="BD59">
            <v>0</v>
          </cell>
          <cell r="BE59">
            <v>1E-3</v>
          </cell>
          <cell r="BF59">
            <v>0</v>
          </cell>
          <cell r="BG59">
            <v>1.0664386366702769</v>
          </cell>
          <cell r="BH59">
            <v>1.9999999999999996</v>
          </cell>
          <cell r="BI59">
            <v>1.3</v>
          </cell>
          <cell r="BJ59">
            <v>0</v>
          </cell>
          <cell r="BK59">
            <v>0</v>
          </cell>
          <cell r="BL59">
            <v>0</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v>0</v>
          </cell>
          <cell r="K60">
            <v>0.207825604811361</v>
          </cell>
          <cell r="L60">
            <v>3.2078256048113611</v>
          </cell>
          <cell r="M60">
            <v>3.2078256048113611</v>
          </cell>
          <cell r="N60">
            <v>467.36338090484503</v>
          </cell>
          <cell r="O60">
            <v>0.63583333333333336</v>
          </cell>
          <cell r="P60">
            <v>1349.4</v>
          </cell>
          <cell r="S60">
            <v>0</v>
          </cell>
          <cell r="U60">
            <v>0</v>
          </cell>
          <cell r="X60">
            <v>0</v>
          </cell>
          <cell r="Y60">
            <v>0</v>
          </cell>
          <cell r="AA60">
            <v>0</v>
          </cell>
          <cell r="AB60">
            <v>0</v>
          </cell>
          <cell r="AC60">
            <v>0</v>
          </cell>
          <cell r="AD60">
            <v>0</v>
          </cell>
          <cell r="AE60">
            <v>0</v>
          </cell>
          <cell r="AF60">
            <v>0</v>
          </cell>
          <cell r="AG60">
            <v>0</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v>0</v>
          </cell>
          <cell r="BK60">
            <v>0</v>
          </cell>
          <cell r="BL60">
            <v>0</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v>0</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v>0</v>
          </cell>
          <cell r="K61">
            <v>6.9013978503485104E-2</v>
          </cell>
          <cell r="L61">
            <v>3.276839583314846</v>
          </cell>
          <cell r="M61">
            <v>3.276839583314846</v>
          </cell>
          <cell r="N61">
            <v>465.87382715726278</v>
          </cell>
          <cell r="O61">
            <v>0.6375000000000004</v>
          </cell>
          <cell r="P61">
            <v>1348.6250869773014</v>
          </cell>
          <cell r="S61">
            <v>0</v>
          </cell>
          <cell r="U61">
            <v>0</v>
          </cell>
          <cell r="X61">
            <v>0</v>
          </cell>
          <cell r="Y61">
            <v>0</v>
          </cell>
          <cell r="AA61">
            <v>0</v>
          </cell>
          <cell r="AB61">
            <v>0</v>
          </cell>
          <cell r="AC61">
            <v>0</v>
          </cell>
          <cell r="AD61">
            <v>0</v>
          </cell>
          <cell r="AE61">
            <v>0</v>
          </cell>
          <cell r="AF61">
            <v>0</v>
          </cell>
          <cell r="AG61">
            <v>0</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v>0</v>
          </cell>
          <cell r="BH61">
            <v>0</v>
          </cell>
          <cell r="BI61">
            <v>0</v>
          </cell>
          <cell r="BJ61">
            <v>0</v>
          </cell>
          <cell r="BK61">
            <v>0</v>
          </cell>
          <cell r="BL61">
            <v>0</v>
          </cell>
          <cell r="BM61">
            <v>0</v>
          </cell>
          <cell r="BN61">
            <v>0.7</v>
          </cell>
          <cell r="BO61">
            <v>667.16300000000001</v>
          </cell>
          <cell r="BP61">
            <v>665.34299999999996</v>
          </cell>
          <cell r="BQ61">
            <v>667.76300000000003</v>
          </cell>
          <cell r="BR61">
            <v>665.94299999999998</v>
          </cell>
          <cell r="BS61">
            <v>669.34300000000007</v>
          </cell>
          <cell r="BT61">
            <v>666.94299999999998</v>
          </cell>
          <cell r="BU61">
            <v>0</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v>0</v>
          </cell>
          <cell r="K62">
            <v>6.9013978503485104E-2</v>
          </cell>
          <cell r="L62">
            <v>3.3458535618183309</v>
          </cell>
          <cell r="M62">
            <v>3.3458535618183309</v>
          </cell>
          <cell r="N62">
            <v>464.39306287061709</v>
          </cell>
          <cell r="O62">
            <v>0.63312529056252875</v>
          </cell>
          <cell r="P62">
            <v>1335.1132875976296</v>
          </cell>
          <cell r="S62">
            <v>0</v>
          </cell>
          <cell r="U62">
            <v>0</v>
          </cell>
          <cell r="X62">
            <v>0</v>
          </cell>
          <cell r="Y62">
            <v>0</v>
          </cell>
          <cell r="AA62">
            <v>0</v>
          </cell>
          <cell r="AB62">
            <v>0</v>
          </cell>
          <cell r="AC62">
            <v>0</v>
          </cell>
          <cell r="AD62">
            <v>0</v>
          </cell>
          <cell r="AE62">
            <v>0</v>
          </cell>
          <cell r="AF62">
            <v>0</v>
          </cell>
          <cell r="AG62">
            <v>0</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v>0</v>
          </cell>
          <cell r="BH62">
            <v>0</v>
          </cell>
          <cell r="BI62">
            <v>0</v>
          </cell>
          <cell r="BJ62">
            <v>0</v>
          </cell>
          <cell r="BK62">
            <v>0</v>
          </cell>
          <cell r="BL62">
            <v>0</v>
          </cell>
          <cell r="BM62">
            <v>0</v>
          </cell>
          <cell r="BN62">
            <v>0.3</v>
          </cell>
          <cell r="BO62">
            <v>665.11300000000006</v>
          </cell>
          <cell r="BP62">
            <v>663.12300000000005</v>
          </cell>
          <cell r="BQ62">
            <v>665.71300000000008</v>
          </cell>
          <cell r="BR62">
            <v>663.72300000000007</v>
          </cell>
          <cell r="BS62">
            <v>666.94299999999998</v>
          </cell>
          <cell r="BT62">
            <v>664.52300000000014</v>
          </cell>
          <cell r="BU62">
            <v>0</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v>0</v>
          </cell>
          <cell r="K63">
            <v>6.9013978503485104E-2</v>
          </cell>
          <cell r="L63">
            <v>3.4148675403218158</v>
          </cell>
          <cell r="M63">
            <v>3.4148675403218158</v>
          </cell>
          <cell r="N63">
            <v>462.92101245913631</v>
          </cell>
          <cell r="O63">
            <v>0.66360108303249099</v>
          </cell>
          <cell r="P63">
            <v>1394.9438066942571</v>
          </cell>
          <cell r="S63">
            <v>0</v>
          </cell>
          <cell r="U63">
            <v>0</v>
          </cell>
          <cell r="X63">
            <v>0</v>
          </cell>
          <cell r="Y63">
            <v>0</v>
          </cell>
          <cell r="AA63">
            <v>0</v>
          </cell>
          <cell r="AB63">
            <v>0</v>
          </cell>
          <cell r="AC63">
            <v>0</v>
          </cell>
          <cell r="AD63">
            <v>0</v>
          </cell>
          <cell r="AE63">
            <v>0</v>
          </cell>
          <cell r="AF63">
            <v>0</v>
          </cell>
          <cell r="AG63">
            <v>0</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v>0</v>
          </cell>
          <cell r="BK63">
            <v>0</v>
          </cell>
          <cell r="BL63">
            <v>0</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v>0</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J64">
            <v>0.02</v>
          </cell>
          <cell r="AK64">
            <v>30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662.77300000000002</v>
          </cell>
          <cell r="BP64">
            <v>0</v>
          </cell>
          <cell r="BQ64">
            <v>662.77300000000002</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v>0</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J65">
            <v>0.02</v>
          </cell>
          <cell r="AK65">
            <v>30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v>0</v>
          </cell>
          <cell r="K66">
            <v>6.9013978503485104E-2</v>
          </cell>
          <cell r="L66">
            <v>6.9013978503485104E-2</v>
          </cell>
          <cell r="M66">
            <v>3</v>
          </cell>
          <cell r="N66">
            <v>471.90281881227315</v>
          </cell>
          <cell r="O66">
            <v>0.63517830045523482</v>
          </cell>
          <cell r="P66">
            <v>407.6497053891714</v>
          </cell>
          <cell r="S66">
            <v>0</v>
          </cell>
          <cell r="U66">
            <v>0</v>
          </cell>
          <cell r="X66">
            <v>0</v>
          </cell>
          <cell r="Y66">
            <v>0</v>
          </cell>
          <cell r="AA66">
            <v>0</v>
          </cell>
          <cell r="AB66">
            <v>0</v>
          </cell>
          <cell r="AC66">
            <v>0</v>
          </cell>
          <cell r="AD66">
            <v>0</v>
          </cell>
          <cell r="AE66">
            <v>0</v>
          </cell>
          <cell r="AF66">
            <v>0</v>
          </cell>
          <cell r="AG66">
            <v>0</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v>0</v>
          </cell>
          <cell r="BB66">
            <v>1E-3</v>
          </cell>
          <cell r="BC66">
            <v>0</v>
          </cell>
          <cell r="BD66">
            <v>0</v>
          </cell>
          <cell r="BE66">
            <v>1E-3</v>
          </cell>
          <cell r="BF66">
            <v>0</v>
          </cell>
          <cell r="BG66">
            <v>0.96081913019759546</v>
          </cell>
          <cell r="BH66">
            <v>2.6666666666666665</v>
          </cell>
          <cell r="BI66">
            <v>1.2</v>
          </cell>
          <cell r="BJ66">
            <v>0</v>
          </cell>
          <cell r="BK66">
            <v>0</v>
          </cell>
          <cell r="BL66">
            <v>0</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v>0</v>
          </cell>
          <cell r="AA12">
            <v>0</v>
          </cell>
          <cell r="AB12">
            <v>0</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v>0</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v>0</v>
          </cell>
          <cell r="AA13">
            <v>0</v>
          </cell>
          <cell r="AB13">
            <v>0</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v>0</v>
          </cell>
          <cell r="BK13">
            <v>0</v>
          </cell>
          <cell r="BL13">
            <v>0</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v>0</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v>0</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v>0</v>
          </cell>
          <cell r="AA14">
            <v>0</v>
          </cell>
          <cell r="AB14">
            <v>0</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v>0</v>
          </cell>
          <cell r="BH14">
            <v>0</v>
          </cell>
          <cell r="BI14">
            <v>0</v>
          </cell>
          <cell r="BJ14">
            <v>0</v>
          </cell>
          <cell r="BK14">
            <v>0</v>
          </cell>
          <cell r="BL14">
            <v>0</v>
          </cell>
          <cell r="BM14">
            <v>0</v>
          </cell>
          <cell r="BN14">
            <v>0.67</v>
          </cell>
          <cell r="BO14">
            <v>723.83299999999997</v>
          </cell>
          <cell r="BP14">
            <v>718.91300000000001</v>
          </cell>
          <cell r="BQ14">
            <v>724.28300000000002</v>
          </cell>
          <cell r="BR14">
            <v>719.36300000000006</v>
          </cell>
          <cell r="BS14">
            <v>726.10300000000007</v>
          </cell>
          <cell r="BT14">
            <v>720.88300000000004</v>
          </cell>
          <cell r="BU14">
            <v>0</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v>0</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v>0</v>
          </cell>
          <cell r="AA15">
            <v>0</v>
          </cell>
          <cell r="AB15">
            <v>0</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v>0</v>
          </cell>
          <cell r="BH15">
            <v>0</v>
          </cell>
          <cell r="BI15">
            <v>0</v>
          </cell>
          <cell r="BJ15">
            <v>0</v>
          </cell>
          <cell r="BK15">
            <v>0</v>
          </cell>
          <cell r="BL15">
            <v>0</v>
          </cell>
          <cell r="BM15">
            <v>0</v>
          </cell>
          <cell r="BN15">
            <v>0.1</v>
          </cell>
          <cell r="BO15">
            <v>718.803</v>
          </cell>
          <cell r="BP15">
            <v>711.83299999999997</v>
          </cell>
          <cell r="BQ15">
            <v>719.25300000000004</v>
          </cell>
          <cell r="BR15">
            <v>712.28300000000002</v>
          </cell>
          <cell r="BS15">
            <v>720.88300000000004</v>
          </cell>
          <cell r="BT15">
            <v>713.70299999999997</v>
          </cell>
          <cell r="BU15">
            <v>0</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v>0</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v>0</v>
          </cell>
          <cell r="AA16">
            <v>0</v>
          </cell>
          <cell r="AB16">
            <v>0</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v>0</v>
          </cell>
          <cell r="BH16">
            <v>0</v>
          </cell>
          <cell r="BI16">
            <v>0</v>
          </cell>
          <cell r="BJ16">
            <v>0</v>
          </cell>
          <cell r="BK16">
            <v>0</v>
          </cell>
          <cell r="BL16">
            <v>0</v>
          </cell>
          <cell r="BM16">
            <v>0</v>
          </cell>
          <cell r="BN16">
            <v>0.75</v>
          </cell>
          <cell r="BO16">
            <v>711.08299999999997</v>
          </cell>
          <cell r="BP16">
            <v>708.48299999999995</v>
          </cell>
          <cell r="BQ16">
            <v>711.53300000000002</v>
          </cell>
          <cell r="BR16">
            <v>708.93299999999999</v>
          </cell>
          <cell r="BS16">
            <v>713.70299999999997</v>
          </cell>
          <cell r="BT16">
            <v>710.13300000000004</v>
          </cell>
          <cell r="BU16">
            <v>0</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v>0</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v>0</v>
          </cell>
          <cell r="AA17">
            <v>0</v>
          </cell>
          <cell r="AB17">
            <v>0</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v>0</v>
          </cell>
          <cell r="BK17">
            <v>0</v>
          </cell>
          <cell r="BL17">
            <v>0</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v>0</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v>0</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v>0</v>
          </cell>
          <cell r="AA18">
            <v>0</v>
          </cell>
          <cell r="AB18">
            <v>0</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v>0</v>
          </cell>
          <cell r="BK18">
            <v>0</v>
          </cell>
          <cell r="BL18">
            <v>0</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v>0</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v>0</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v>0</v>
          </cell>
          <cell r="AA19">
            <v>0</v>
          </cell>
          <cell r="AB19">
            <v>0</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v>0</v>
          </cell>
          <cell r="BH19">
            <v>0</v>
          </cell>
          <cell r="BI19">
            <v>0</v>
          </cell>
          <cell r="BJ19">
            <v>0</v>
          </cell>
          <cell r="BK19">
            <v>0</v>
          </cell>
          <cell r="BL19">
            <v>0</v>
          </cell>
          <cell r="BM19">
            <v>0</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v>0</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v>0</v>
          </cell>
          <cell r="AA20">
            <v>0</v>
          </cell>
          <cell r="AB20">
            <v>0</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v>0</v>
          </cell>
          <cell r="BH20">
            <v>0</v>
          </cell>
          <cell r="BI20">
            <v>0</v>
          </cell>
          <cell r="BJ20">
            <v>0</v>
          </cell>
          <cell r="BK20">
            <v>0</v>
          </cell>
          <cell r="BL20">
            <v>0</v>
          </cell>
          <cell r="BM20">
            <v>0</v>
          </cell>
          <cell r="BN20">
            <v>0.27</v>
          </cell>
          <cell r="BO20">
            <v>696.59299999999996</v>
          </cell>
          <cell r="BP20">
            <v>695.29300000000001</v>
          </cell>
          <cell r="BQ20">
            <v>697.04300000000001</v>
          </cell>
          <cell r="BR20">
            <v>695.74300000000005</v>
          </cell>
          <cell r="BS20">
            <v>702.74299999999994</v>
          </cell>
          <cell r="BT20">
            <v>698.83300000000008</v>
          </cell>
          <cell r="BU20">
            <v>0</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v>0</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v>0</v>
          </cell>
          <cell r="AA21">
            <v>0</v>
          </cell>
          <cell r="AB21">
            <v>0</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v>0</v>
          </cell>
          <cell r="BH21">
            <v>0</v>
          </cell>
          <cell r="BI21">
            <v>0</v>
          </cell>
          <cell r="BJ21">
            <v>0</v>
          </cell>
          <cell r="BK21">
            <v>0</v>
          </cell>
          <cell r="BL21">
            <v>0</v>
          </cell>
          <cell r="BM21">
            <v>0</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v>0</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v>0</v>
          </cell>
          <cell r="AA22">
            <v>0</v>
          </cell>
          <cell r="AB22">
            <v>0</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v>0</v>
          </cell>
          <cell r="BK22">
            <v>0</v>
          </cell>
          <cell r="BL22">
            <v>0</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v>0</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v>0</v>
          </cell>
          <cell r="K23">
            <v>0</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v>0</v>
          </cell>
          <cell r="AA23">
            <v>0</v>
          </cell>
          <cell r="AB23">
            <v>0</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v>0</v>
          </cell>
          <cell r="BH23">
            <v>0</v>
          </cell>
          <cell r="BI23">
            <v>0</v>
          </cell>
          <cell r="BJ23">
            <v>0</v>
          </cell>
          <cell r="BK23">
            <v>0</v>
          </cell>
          <cell r="BL23">
            <v>0</v>
          </cell>
          <cell r="BM23">
            <v>0</v>
          </cell>
          <cell r="BN23">
            <v>0.4</v>
          </cell>
          <cell r="BO23">
            <v>687.23300000000006</v>
          </cell>
          <cell r="BP23">
            <v>687.05300000000011</v>
          </cell>
          <cell r="BQ23">
            <v>687.68300000000011</v>
          </cell>
          <cell r="BR23">
            <v>687.50300000000016</v>
          </cell>
          <cell r="BS23">
            <v>689.34300000000007</v>
          </cell>
          <cell r="BT23">
            <v>688.78700000000003</v>
          </cell>
          <cell r="BU23">
            <v>0</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v>0</v>
          </cell>
          <cell r="K24">
            <v>0</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v>0</v>
          </cell>
          <cell r="AA24">
            <v>0</v>
          </cell>
          <cell r="AB24">
            <v>0</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v>0</v>
          </cell>
          <cell r="BH24">
            <v>0</v>
          </cell>
          <cell r="BI24">
            <v>0</v>
          </cell>
          <cell r="BJ24">
            <v>0</v>
          </cell>
          <cell r="BK24">
            <v>0</v>
          </cell>
          <cell r="BL24">
            <v>0</v>
          </cell>
          <cell r="BM24">
            <v>0</v>
          </cell>
          <cell r="BN24">
            <v>0.08</v>
          </cell>
          <cell r="BO24">
            <v>686.97300000000007</v>
          </cell>
          <cell r="BP24">
            <v>686.61300000000006</v>
          </cell>
          <cell r="BQ24">
            <v>687.17300000000012</v>
          </cell>
          <cell r="BR24">
            <v>686.8130000000001</v>
          </cell>
          <cell r="BS24">
            <v>688.78700000000003</v>
          </cell>
          <cell r="BT24">
            <v>688.11300000000006</v>
          </cell>
          <cell r="BU24">
            <v>0</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v>0</v>
          </cell>
          <cell r="K25">
            <v>0</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v>0</v>
          </cell>
          <cell r="AA25">
            <v>0</v>
          </cell>
          <cell r="AB25">
            <v>0</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v>0</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v>0</v>
          </cell>
          <cell r="K26">
            <v>0</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v>0</v>
          </cell>
          <cell r="AA26">
            <v>0</v>
          </cell>
          <cell r="AB26">
            <v>0</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v>0</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v>0</v>
          </cell>
          <cell r="K27">
            <v>0</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v>0</v>
          </cell>
          <cell r="AA27">
            <v>0</v>
          </cell>
          <cell r="AB27">
            <v>0</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v>0</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v>0</v>
          </cell>
          <cell r="K28">
            <v>0</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v>0</v>
          </cell>
          <cell r="AA28">
            <v>0</v>
          </cell>
          <cell r="AB28">
            <v>0</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v>0</v>
          </cell>
          <cell r="BH28">
            <v>0</v>
          </cell>
          <cell r="BI28">
            <v>0</v>
          </cell>
          <cell r="BJ28">
            <v>0</v>
          </cell>
          <cell r="BK28">
            <v>0</v>
          </cell>
          <cell r="BL28">
            <v>0</v>
          </cell>
          <cell r="BM28">
            <v>0</v>
          </cell>
          <cell r="BN28">
            <v>0.21</v>
          </cell>
          <cell r="BO28">
            <v>682.27300000000025</v>
          </cell>
          <cell r="BP28">
            <v>681.51300000000026</v>
          </cell>
          <cell r="BQ28">
            <v>682.7230000000003</v>
          </cell>
          <cell r="BR28">
            <v>681.96300000000031</v>
          </cell>
          <cell r="BS28">
            <v>684.62300000000005</v>
          </cell>
          <cell r="BT28">
            <v>683.44299999999998</v>
          </cell>
          <cell r="BU28">
            <v>0</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v>0</v>
          </cell>
          <cell r="K29">
            <v>0</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v>0</v>
          </cell>
          <cell r="AA29">
            <v>0</v>
          </cell>
          <cell r="AB29">
            <v>0</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v>0</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v>0</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v>0</v>
          </cell>
          <cell r="AA30">
            <v>0</v>
          </cell>
          <cell r="AB30">
            <v>0</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v>0</v>
          </cell>
          <cell r="BK30">
            <v>0</v>
          </cell>
          <cell r="BL30">
            <v>0</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v>0</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v>0</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v>0</v>
          </cell>
          <cell r="AA31">
            <v>0</v>
          </cell>
          <cell r="AB31">
            <v>0</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v>0</v>
          </cell>
          <cell r="BH31">
            <v>0</v>
          </cell>
          <cell r="BI31">
            <v>0</v>
          </cell>
          <cell r="BJ31">
            <v>0</v>
          </cell>
          <cell r="BK31">
            <v>0</v>
          </cell>
          <cell r="BL31">
            <v>0</v>
          </cell>
          <cell r="BM31">
            <v>0</v>
          </cell>
          <cell r="BN31">
            <v>0.9</v>
          </cell>
          <cell r="BO31">
            <v>676.98300000000029</v>
          </cell>
          <cell r="BP31">
            <v>672.70300000000032</v>
          </cell>
          <cell r="BQ31">
            <v>677.68300000000033</v>
          </cell>
          <cell r="BR31">
            <v>673.40300000000036</v>
          </cell>
          <cell r="BS31">
            <v>679.55300000000011</v>
          </cell>
          <cell r="BT31">
            <v>674.35300000000007</v>
          </cell>
          <cell r="BU31">
            <v>0</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v>0</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v>0</v>
          </cell>
          <cell r="AA32">
            <v>0</v>
          </cell>
          <cell r="AB32">
            <v>0</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v>0</v>
          </cell>
          <cell r="BH32">
            <v>0</v>
          </cell>
          <cell r="BI32">
            <v>0</v>
          </cell>
          <cell r="BJ32">
            <v>0</v>
          </cell>
          <cell r="BK32">
            <v>0</v>
          </cell>
          <cell r="BL32">
            <v>0</v>
          </cell>
          <cell r="BM32">
            <v>0</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v>0</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v>0</v>
          </cell>
          <cell r="AA33">
            <v>0</v>
          </cell>
          <cell r="AB33">
            <v>0</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v>0</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v>0</v>
          </cell>
          <cell r="G34">
            <v>0</v>
          </cell>
          <cell r="J34">
            <v>0</v>
          </cell>
          <cell r="L34">
            <v>0</v>
          </cell>
          <cell r="M34">
            <v>0</v>
          </cell>
          <cell r="N34">
            <v>0</v>
          </cell>
          <cell r="O34">
            <v>0</v>
          </cell>
          <cell r="P34">
            <v>0</v>
          </cell>
          <cell r="S34">
            <v>0</v>
          </cell>
          <cell r="T34">
            <v>98</v>
          </cell>
          <cell r="U34">
            <v>0</v>
          </cell>
          <cell r="V34">
            <v>0.68799999999999994</v>
          </cell>
          <cell r="X34">
            <v>0</v>
          </cell>
          <cell r="Y34">
            <v>0</v>
          </cell>
          <cell r="AA34">
            <v>0</v>
          </cell>
          <cell r="AB34">
            <v>0</v>
          </cell>
          <cell r="AC34">
            <v>0</v>
          </cell>
          <cell r="AD34">
            <v>0</v>
          </cell>
          <cell r="AE34">
            <v>0</v>
          </cell>
          <cell r="AF34">
            <v>0</v>
          </cell>
          <cell r="AG34">
            <v>0</v>
          </cell>
          <cell r="AH34">
            <v>0</v>
          </cell>
          <cell r="AI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670.05300000000022</v>
          </cell>
          <cell r="BP34">
            <v>0</v>
          </cell>
          <cell r="BQ34">
            <v>670.05300000000022</v>
          </cell>
          <cell r="BR34">
            <v>0</v>
          </cell>
          <cell r="BS34">
            <v>0</v>
          </cell>
          <cell r="BT34">
            <v>0</v>
          </cell>
          <cell r="BU34">
            <v>0</v>
          </cell>
          <cell r="BV34">
            <v>0</v>
          </cell>
          <cell r="BW34">
            <v>0</v>
          </cell>
          <cell r="BX34">
            <v>0</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v>0</v>
          </cell>
          <cell r="F35">
            <v>0</v>
          </cell>
          <cell r="G35">
            <v>0</v>
          </cell>
          <cell r="J35">
            <v>0</v>
          </cell>
          <cell r="L35">
            <v>0</v>
          </cell>
          <cell r="M35">
            <v>0</v>
          </cell>
          <cell r="N35">
            <v>0</v>
          </cell>
          <cell r="O35">
            <v>0</v>
          </cell>
          <cell r="P35">
            <v>0</v>
          </cell>
          <cell r="S35">
            <v>0</v>
          </cell>
          <cell r="T35">
            <v>98</v>
          </cell>
          <cell r="U35">
            <v>0</v>
          </cell>
          <cell r="V35">
            <v>0.68799999999999994</v>
          </cell>
          <cell r="X35">
            <v>0</v>
          </cell>
          <cell r="Y35">
            <v>0</v>
          </cell>
          <cell r="AA35">
            <v>0</v>
          </cell>
          <cell r="AB35">
            <v>0</v>
          </cell>
          <cell r="AC35">
            <v>0</v>
          </cell>
          <cell r="AD35">
            <v>0</v>
          </cell>
          <cell r="AE35">
            <v>0</v>
          </cell>
          <cell r="AF35">
            <v>0</v>
          </cell>
          <cell r="AG35">
            <v>0</v>
          </cell>
          <cell r="AH35">
            <v>0</v>
          </cell>
          <cell r="AI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v>0</v>
          </cell>
          <cell r="Y36">
            <v>0</v>
          </cell>
          <cell r="AA36">
            <v>0</v>
          </cell>
          <cell r="AB36">
            <v>0</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v>0</v>
          </cell>
          <cell r="BB36">
            <v>1E-3</v>
          </cell>
          <cell r="BC36">
            <v>0</v>
          </cell>
          <cell r="BD36">
            <v>0</v>
          </cell>
          <cell r="BE36">
            <v>1E-3</v>
          </cell>
          <cell r="BF36">
            <v>0</v>
          </cell>
          <cell r="BG36">
            <v>1.3992256904642315</v>
          </cell>
          <cell r="BH36">
            <v>3.4285714285714279</v>
          </cell>
          <cell r="BI36">
            <v>1.2</v>
          </cell>
          <cell r="BJ36">
            <v>0</v>
          </cell>
          <cell r="BK36">
            <v>0</v>
          </cell>
          <cell r="BL36">
            <v>0</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v>0</v>
          </cell>
          <cell r="G37">
            <v>0</v>
          </cell>
          <cell r="J37">
            <v>0</v>
          </cell>
          <cell r="L37">
            <v>0</v>
          </cell>
          <cell r="M37">
            <v>0</v>
          </cell>
          <cell r="N37">
            <v>0</v>
          </cell>
          <cell r="O37">
            <v>0</v>
          </cell>
          <cell r="P37">
            <v>0</v>
          </cell>
          <cell r="S37">
            <v>0</v>
          </cell>
          <cell r="X37">
            <v>0</v>
          </cell>
          <cell r="Y37">
            <v>0</v>
          </cell>
          <cell r="AA37">
            <v>0</v>
          </cell>
          <cell r="AB37">
            <v>0</v>
          </cell>
          <cell r="AC37">
            <v>0</v>
          </cell>
          <cell r="AD37">
            <v>0</v>
          </cell>
          <cell r="AE37">
            <v>0</v>
          </cell>
          <cell r="AF37">
            <v>0</v>
          </cell>
          <cell r="AG37">
            <v>0</v>
          </cell>
          <cell r="AH37">
            <v>0</v>
          </cell>
          <cell r="AI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731.01300000000015</v>
          </cell>
          <cell r="BP37">
            <v>0</v>
          </cell>
          <cell r="BQ37">
            <v>731.01300000000015</v>
          </cell>
          <cell r="BR37">
            <v>0</v>
          </cell>
          <cell r="BS37">
            <v>0</v>
          </cell>
          <cell r="BT37">
            <v>0</v>
          </cell>
          <cell r="BU37">
            <v>0</v>
          </cell>
          <cell r="BV37">
            <v>0</v>
          </cell>
          <cell r="BW37">
            <v>0</v>
          </cell>
          <cell r="BX37">
            <v>0</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v>0</v>
          </cell>
          <cell r="F38">
            <v>0</v>
          </cell>
          <cell r="G38">
            <v>0</v>
          </cell>
          <cell r="J38">
            <v>0</v>
          </cell>
          <cell r="K38">
            <v>0</v>
          </cell>
          <cell r="L38">
            <v>0</v>
          </cell>
          <cell r="M38">
            <v>0</v>
          </cell>
          <cell r="N38">
            <v>0</v>
          </cell>
          <cell r="O38">
            <v>0</v>
          </cell>
          <cell r="P38">
            <v>0</v>
          </cell>
          <cell r="S38">
            <v>0</v>
          </cell>
          <cell r="U38">
            <v>0</v>
          </cell>
          <cell r="X38">
            <v>0</v>
          </cell>
          <cell r="Y38">
            <v>0</v>
          </cell>
          <cell r="AA38">
            <v>0</v>
          </cell>
          <cell r="AB38">
            <v>0</v>
          </cell>
          <cell r="AC38">
            <v>0</v>
          </cell>
          <cell r="AD38">
            <v>0</v>
          </cell>
          <cell r="AE38">
            <v>0</v>
          </cell>
          <cell r="AF38">
            <v>0</v>
          </cell>
          <cell r="AG38">
            <v>0</v>
          </cell>
          <cell r="AH38">
            <v>0</v>
          </cell>
          <cell r="AI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v>0</v>
          </cell>
          <cell r="K39">
            <v>0</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v>0</v>
          </cell>
          <cell r="Y39">
            <v>0</v>
          </cell>
          <cell r="AA39">
            <v>0</v>
          </cell>
          <cell r="AB39">
            <v>0</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v>0</v>
          </cell>
          <cell r="BB39">
            <v>1E-3</v>
          </cell>
          <cell r="BC39">
            <v>0</v>
          </cell>
          <cell r="BD39">
            <v>0</v>
          </cell>
          <cell r="BE39">
            <v>1E-3</v>
          </cell>
          <cell r="BF39">
            <v>0</v>
          </cell>
          <cell r="BG39">
            <v>1.0634840016004636</v>
          </cell>
          <cell r="BH39">
            <v>2.6666666666666665</v>
          </cell>
          <cell r="BI39">
            <v>1.2</v>
          </cell>
          <cell r="BJ39">
            <v>0</v>
          </cell>
          <cell r="BK39">
            <v>0</v>
          </cell>
          <cell r="BL39">
            <v>0</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v>0</v>
          </cell>
          <cell r="K40">
            <v>0</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v>0</v>
          </cell>
          <cell r="AA40">
            <v>0</v>
          </cell>
          <cell r="AB40">
            <v>0</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v>0</v>
          </cell>
          <cell r="BK40">
            <v>0</v>
          </cell>
          <cell r="BL40">
            <v>0</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v>0</v>
          </cell>
          <cell r="F41">
            <v>0</v>
          </cell>
          <cell r="G41">
            <v>0</v>
          </cell>
          <cell r="J41">
            <v>0</v>
          </cell>
          <cell r="K41">
            <v>0</v>
          </cell>
          <cell r="L41">
            <v>0</v>
          </cell>
          <cell r="M41">
            <v>0</v>
          </cell>
          <cell r="N41">
            <v>0</v>
          </cell>
          <cell r="O41">
            <v>0</v>
          </cell>
          <cell r="P41">
            <v>0</v>
          </cell>
          <cell r="S41">
            <v>0</v>
          </cell>
          <cell r="U41">
            <v>0</v>
          </cell>
          <cell r="X41">
            <v>0</v>
          </cell>
          <cell r="Y41">
            <v>0</v>
          </cell>
          <cell r="AA41">
            <v>0</v>
          </cell>
          <cell r="AB41">
            <v>0</v>
          </cell>
          <cell r="AC41">
            <v>0</v>
          </cell>
          <cell r="AD41">
            <v>0</v>
          </cell>
          <cell r="AE41">
            <v>0</v>
          </cell>
          <cell r="AF41">
            <v>0</v>
          </cell>
          <cell r="AG41">
            <v>0</v>
          </cell>
          <cell r="AH41">
            <v>0</v>
          </cell>
          <cell r="AI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707.60299999999995</v>
          </cell>
          <cell r="BP41">
            <v>0</v>
          </cell>
          <cell r="BQ41">
            <v>707.60299999999995</v>
          </cell>
          <cell r="BR41">
            <v>0</v>
          </cell>
          <cell r="BS41">
            <v>0</v>
          </cell>
          <cell r="BT41">
            <v>0</v>
          </cell>
          <cell r="BU41">
            <v>0</v>
          </cell>
          <cell r="BV41">
            <v>0</v>
          </cell>
          <cell r="BW41">
            <v>0</v>
          </cell>
          <cell r="BX41">
            <v>0</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v>0</v>
          </cell>
          <cell r="K42">
            <v>0</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v>0</v>
          </cell>
          <cell r="Y42">
            <v>0</v>
          </cell>
          <cell r="AA42">
            <v>0</v>
          </cell>
          <cell r="AB42">
            <v>0</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v>0</v>
          </cell>
          <cell r="BB42">
            <v>1E-3</v>
          </cell>
          <cell r="BC42">
            <v>0</v>
          </cell>
          <cell r="BD42">
            <v>0</v>
          </cell>
          <cell r="BE42">
            <v>1E-3</v>
          </cell>
          <cell r="BF42">
            <v>0</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v>0</v>
          </cell>
          <cell r="K43">
            <v>0</v>
          </cell>
          <cell r="L43">
            <v>4.6541116427098697</v>
          </cell>
          <cell r="M43">
            <v>4.6541116427098697</v>
          </cell>
          <cell r="N43">
            <v>437.8905648792479</v>
          </cell>
          <cell r="O43">
            <v>0.62915394402035474</v>
          </cell>
          <cell r="P43">
            <v>120.73273186182797</v>
          </cell>
          <cell r="S43">
            <v>12.92</v>
          </cell>
          <cell r="U43">
            <v>0</v>
          </cell>
          <cell r="X43">
            <v>0</v>
          </cell>
          <cell r="Y43">
            <v>0</v>
          </cell>
          <cell r="AA43">
            <v>0</v>
          </cell>
          <cell r="AB43">
            <v>0</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v>0</v>
          </cell>
          <cell r="BD43">
            <v>0</v>
          </cell>
          <cell r="BE43">
            <v>0</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v>0</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v>0</v>
          </cell>
          <cell r="G44">
            <v>0</v>
          </cell>
          <cell r="J44">
            <v>0</v>
          </cell>
          <cell r="K44">
            <v>0</v>
          </cell>
          <cell r="L44">
            <v>0</v>
          </cell>
          <cell r="M44">
            <v>0</v>
          </cell>
          <cell r="N44">
            <v>0</v>
          </cell>
          <cell r="O44">
            <v>0</v>
          </cell>
          <cell r="P44">
            <v>0</v>
          </cell>
          <cell r="S44">
            <v>0</v>
          </cell>
          <cell r="U44">
            <v>0</v>
          </cell>
          <cell r="X44">
            <v>0</v>
          </cell>
          <cell r="Y44">
            <v>0</v>
          </cell>
          <cell r="AA44">
            <v>0</v>
          </cell>
          <cell r="AB44">
            <v>0</v>
          </cell>
          <cell r="AC44">
            <v>0</v>
          </cell>
          <cell r="AD44">
            <v>0</v>
          </cell>
          <cell r="AE44">
            <v>0</v>
          </cell>
          <cell r="AF44">
            <v>0</v>
          </cell>
          <cell r="AG44">
            <v>0</v>
          </cell>
          <cell r="AH44">
            <v>0</v>
          </cell>
          <cell r="AI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681.12300000000027</v>
          </cell>
          <cell r="BP44">
            <v>0</v>
          </cell>
          <cell r="BQ44">
            <v>681.12300000000027</v>
          </cell>
          <cell r="BR44">
            <v>0</v>
          </cell>
          <cell r="BS44">
            <v>0</v>
          </cell>
          <cell r="BT44">
            <v>0</v>
          </cell>
          <cell r="BU44">
            <v>0</v>
          </cell>
          <cell r="BV44">
            <v>0</v>
          </cell>
          <cell r="BW44">
            <v>0</v>
          </cell>
          <cell r="BX44">
            <v>0</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v>0</v>
          </cell>
          <cell r="G45">
            <v>0</v>
          </cell>
          <cell r="J45">
            <v>0</v>
          </cell>
          <cell r="K45">
            <v>0</v>
          </cell>
          <cell r="L45">
            <v>0</v>
          </cell>
          <cell r="M45">
            <v>0</v>
          </cell>
          <cell r="N45">
            <v>0</v>
          </cell>
          <cell r="O45">
            <v>0</v>
          </cell>
          <cell r="P45">
            <v>0</v>
          </cell>
          <cell r="S45">
            <v>0</v>
          </cell>
          <cell r="U45">
            <v>0</v>
          </cell>
          <cell r="X45">
            <v>0</v>
          </cell>
          <cell r="Y45">
            <v>0</v>
          </cell>
          <cell r="AA45">
            <v>0</v>
          </cell>
          <cell r="AB45">
            <v>0</v>
          </cell>
          <cell r="AC45">
            <v>0</v>
          </cell>
          <cell r="AD45">
            <v>0</v>
          </cell>
          <cell r="AE45">
            <v>0</v>
          </cell>
          <cell r="AF45">
            <v>0</v>
          </cell>
          <cell r="AG45">
            <v>0</v>
          </cell>
          <cell r="AH45">
            <v>0</v>
          </cell>
          <cell r="AI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v>0</v>
          </cell>
          <cell r="G46">
            <v>0</v>
          </cell>
          <cell r="J46">
            <v>0</v>
          </cell>
          <cell r="K46">
            <v>0</v>
          </cell>
          <cell r="L46">
            <v>0</v>
          </cell>
          <cell r="M46">
            <v>0</v>
          </cell>
          <cell r="N46">
            <v>0</v>
          </cell>
          <cell r="O46">
            <v>0</v>
          </cell>
          <cell r="P46">
            <v>0</v>
          </cell>
          <cell r="S46">
            <v>0</v>
          </cell>
          <cell r="U46">
            <v>0</v>
          </cell>
          <cell r="X46">
            <v>0</v>
          </cell>
          <cell r="Y46">
            <v>0</v>
          </cell>
          <cell r="AA46">
            <v>0</v>
          </cell>
          <cell r="AB46">
            <v>0</v>
          </cell>
          <cell r="AC46">
            <v>0</v>
          </cell>
          <cell r="AD46">
            <v>0</v>
          </cell>
          <cell r="AE46">
            <v>0</v>
          </cell>
          <cell r="AF46">
            <v>0</v>
          </cell>
          <cell r="AG46">
            <v>0</v>
          </cell>
          <cell r="AH46">
            <v>0</v>
          </cell>
          <cell r="AI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v>0</v>
          </cell>
          <cell r="G47">
            <v>0</v>
          </cell>
          <cell r="J47">
            <v>0</v>
          </cell>
          <cell r="L47">
            <v>0</v>
          </cell>
          <cell r="M47">
            <v>0</v>
          </cell>
          <cell r="N47">
            <v>0</v>
          </cell>
          <cell r="O47">
            <v>0</v>
          </cell>
          <cell r="P47">
            <v>0</v>
          </cell>
          <cell r="S47">
            <v>0</v>
          </cell>
          <cell r="U47">
            <v>0</v>
          </cell>
          <cell r="X47">
            <v>0</v>
          </cell>
          <cell r="Y47">
            <v>0</v>
          </cell>
          <cell r="AA47">
            <v>0</v>
          </cell>
          <cell r="AB47">
            <v>0</v>
          </cell>
          <cell r="AC47">
            <v>0</v>
          </cell>
          <cell r="AD47">
            <v>0</v>
          </cell>
          <cell r="AE47">
            <v>0</v>
          </cell>
          <cell r="AF47">
            <v>0</v>
          </cell>
          <cell r="AG47">
            <v>0</v>
          </cell>
          <cell r="AH47">
            <v>0</v>
          </cell>
          <cell r="AI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t="str">
            <v/>
          </cell>
          <cell r="G48" t="str">
            <v/>
          </cell>
          <cell r="H48" t="b">
            <v>0</v>
          </cell>
          <cell r="I48">
            <v>0</v>
          </cell>
          <cell r="J48" t="str">
            <v/>
          </cell>
          <cell r="K48">
            <v>0</v>
          </cell>
          <cell r="L48" t="str">
            <v/>
          </cell>
          <cell r="M48" t="str">
            <v/>
          </cell>
          <cell r="N48" t="str">
            <v/>
          </cell>
          <cell r="O48" t="str">
            <v/>
          </cell>
          <cell r="P48" t="str">
            <v/>
          </cell>
          <cell r="Q48">
            <v>0</v>
          </cell>
          <cell r="R48" t="b">
            <v>1</v>
          </cell>
          <cell r="S48" t="str">
            <v/>
          </cell>
          <cell r="T48">
            <v>0</v>
          </cell>
          <cell r="U48" t="str">
            <v/>
          </cell>
          <cell r="V48">
            <v>0</v>
          </cell>
          <cell r="W48">
            <v>0</v>
          </cell>
          <cell r="X48">
            <v>0</v>
          </cell>
          <cell r="Y48" t="str">
            <v/>
          </cell>
          <cell r="Z48" t="b">
            <v>1</v>
          </cell>
          <cell r="AA48">
            <v>0</v>
          </cell>
          <cell r="AB48" t="str">
            <v/>
          </cell>
          <cell r="AC48" t="str">
            <v/>
          </cell>
          <cell r="AD48" t="str">
            <v/>
          </cell>
          <cell r="AE48" t="str">
            <v/>
          </cell>
          <cell r="AF48" t="str">
            <v/>
          </cell>
          <cell r="AG48" t="str">
            <v/>
          </cell>
          <cell r="AH48" t="str">
            <v/>
          </cell>
          <cell r="AI48" t="str">
            <v/>
          </cell>
          <cell r="AJ48">
            <v>4.170511198008438E-67</v>
          </cell>
          <cell r="AK48" t="str">
            <v>M. DE O. PREPARACIÓN MEZCLAS</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v>0</v>
          </cell>
          <cell r="BP48" t="str">
            <v/>
          </cell>
          <cell r="BQ48">
            <v>0</v>
          </cell>
          <cell r="BR48" t="str">
            <v/>
          </cell>
          <cell r="BS48" t="str">
            <v/>
          </cell>
          <cell r="BT48" t="str">
            <v/>
          </cell>
          <cell r="BU48" t="str">
            <v/>
          </cell>
          <cell r="BV48" t="str">
            <v/>
          </cell>
          <cell r="BW48" t="str">
            <v/>
          </cell>
          <cell r="BX48" t="str">
            <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v>0</v>
          </cell>
          <cell r="G49">
            <v>0</v>
          </cell>
          <cell r="J49">
            <v>0</v>
          </cell>
          <cell r="L49">
            <v>0</v>
          </cell>
          <cell r="M49">
            <v>0</v>
          </cell>
          <cell r="N49">
            <v>0</v>
          </cell>
          <cell r="O49">
            <v>0</v>
          </cell>
          <cell r="P49">
            <v>0</v>
          </cell>
          <cell r="S49">
            <v>0</v>
          </cell>
          <cell r="U49">
            <v>0</v>
          </cell>
          <cell r="X49">
            <v>0</v>
          </cell>
          <cell r="Y49">
            <v>0</v>
          </cell>
          <cell r="AA49">
            <v>0</v>
          </cell>
          <cell r="AB49">
            <v>0</v>
          </cell>
          <cell r="AC49">
            <v>0</v>
          </cell>
          <cell r="AD49">
            <v>0</v>
          </cell>
          <cell r="AE49">
            <v>0</v>
          </cell>
          <cell r="AF49">
            <v>0</v>
          </cell>
          <cell r="AG49">
            <v>0</v>
          </cell>
          <cell r="AH49">
            <v>0</v>
          </cell>
          <cell r="AI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v>0</v>
          </cell>
          <cell r="G50">
            <v>0</v>
          </cell>
          <cell r="J50">
            <v>0</v>
          </cell>
          <cell r="L50">
            <v>0</v>
          </cell>
          <cell r="M50">
            <v>0</v>
          </cell>
          <cell r="N50">
            <v>0</v>
          </cell>
          <cell r="O50">
            <v>0</v>
          </cell>
          <cell r="P50">
            <v>0</v>
          </cell>
          <cell r="S50">
            <v>0</v>
          </cell>
          <cell r="U50">
            <v>0</v>
          </cell>
          <cell r="X50">
            <v>0</v>
          </cell>
          <cell r="Y50">
            <v>0</v>
          </cell>
          <cell r="AA50">
            <v>0</v>
          </cell>
          <cell r="AB50">
            <v>0</v>
          </cell>
          <cell r="AC50">
            <v>0</v>
          </cell>
          <cell r="AD50">
            <v>0</v>
          </cell>
          <cell r="AE50">
            <v>0</v>
          </cell>
          <cell r="AF50">
            <v>0</v>
          </cell>
          <cell r="AG50">
            <v>0</v>
          </cell>
          <cell r="AH50">
            <v>0</v>
          </cell>
          <cell r="AI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v>0</v>
          </cell>
          <cell r="G51">
            <v>0</v>
          </cell>
          <cell r="J51">
            <v>0</v>
          </cell>
          <cell r="L51">
            <v>0</v>
          </cell>
          <cell r="M51">
            <v>0</v>
          </cell>
          <cell r="N51">
            <v>0</v>
          </cell>
          <cell r="O51">
            <v>0</v>
          </cell>
          <cell r="P51">
            <v>0</v>
          </cell>
          <cell r="S51">
            <v>0</v>
          </cell>
          <cell r="U51">
            <v>0</v>
          </cell>
          <cell r="X51">
            <v>0</v>
          </cell>
          <cell r="Y51">
            <v>0</v>
          </cell>
          <cell r="AA51">
            <v>0</v>
          </cell>
          <cell r="AB51">
            <v>0</v>
          </cell>
          <cell r="AC51">
            <v>0</v>
          </cell>
          <cell r="AD51">
            <v>0</v>
          </cell>
          <cell r="AE51">
            <v>0</v>
          </cell>
          <cell r="AF51">
            <v>0</v>
          </cell>
          <cell r="AG51">
            <v>0</v>
          </cell>
          <cell r="AH51">
            <v>0</v>
          </cell>
          <cell r="AI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v>0</v>
          </cell>
          <cell r="G52">
            <v>0</v>
          </cell>
          <cell r="J52">
            <v>0</v>
          </cell>
          <cell r="L52">
            <v>0</v>
          </cell>
          <cell r="M52">
            <v>0</v>
          </cell>
          <cell r="N52">
            <v>0</v>
          </cell>
          <cell r="O52">
            <v>0</v>
          </cell>
          <cell r="P52">
            <v>0</v>
          </cell>
          <cell r="S52">
            <v>0</v>
          </cell>
          <cell r="U52">
            <v>0</v>
          </cell>
          <cell r="X52">
            <v>0</v>
          </cell>
          <cell r="Y52">
            <v>0</v>
          </cell>
          <cell r="AA52">
            <v>0</v>
          </cell>
          <cell r="AB52">
            <v>0</v>
          </cell>
          <cell r="AC52">
            <v>0</v>
          </cell>
          <cell r="AD52">
            <v>0</v>
          </cell>
          <cell r="AE52">
            <v>0</v>
          </cell>
          <cell r="AF52">
            <v>0</v>
          </cell>
          <cell r="AG52">
            <v>0</v>
          </cell>
          <cell r="AH52">
            <v>0</v>
          </cell>
          <cell r="AI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v>0</v>
          </cell>
          <cell r="G53">
            <v>0</v>
          </cell>
          <cell r="J53">
            <v>0</v>
          </cell>
          <cell r="L53">
            <v>0</v>
          </cell>
          <cell r="M53">
            <v>0</v>
          </cell>
          <cell r="N53">
            <v>0</v>
          </cell>
          <cell r="O53">
            <v>0</v>
          </cell>
          <cell r="P53">
            <v>0</v>
          </cell>
          <cell r="S53">
            <v>0</v>
          </cell>
          <cell r="U53">
            <v>0</v>
          </cell>
          <cell r="X53">
            <v>0</v>
          </cell>
          <cell r="Y53">
            <v>0</v>
          </cell>
          <cell r="AA53">
            <v>0</v>
          </cell>
          <cell r="AB53">
            <v>0</v>
          </cell>
          <cell r="AC53">
            <v>0</v>
          </cell>
          <cell r="AD53">
            <v>0</v>
          </cell>
          <cell r="AE53">
            <v>0</v>
          </cell>
          <cell r="AF53">
            <v>0</v>
          </cell>
          <cell r="AG53">
            <v>0</v>
          </cell>
          <cell r="AH53">
            <v>0</v>
          </cell>
          <cell r="AI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v>0</v>
          </cell>
          <cell r="G54">
            <v>0</v>
          </cell>
          <cell r="J54">
            <v>0</v>
          </cell>
          <cell r="L54">
            <v>0</v>
          </cell>
          <cell r="M54">
            <v>0</v>
          </cell>
          <cell r="N54">
            <v>0</v>
          </cell>
          <cell r="O54">
            <v>0</v>
          </cell>
          <cell r="P54">
            <v>0</v>
          </cell>
          <cell r="S54">
            <v>0</v>
          </cell>
          <cell r="U54">
            <v>0</v>
          </cell>
          <cell r="X54">
            <v>0</v>
          </cell>
          <cell r="Y54">
            <v>0</v>
          </cell>
          <cell r="AA54">
            <v>0</v>
          </cell>
          <cell r="AB54">
            <v>0</v>
          </cell>
          <cell r="AC54">
            <v>0</v>
          </cell>
          <cell r="AD54">
            <v>0</v>
          </cell>
          <cell r="AE54">
            <v>0</v>
          </cell>
          <cell r="AF54">
            <v>0</v>
          </cell>
          <cell r="AG54">
            <v>0</v>
          </cell>
          <cell r="AH54">
            <v>0</v>
          </cell>
          <cell r="AI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v>0</v>
          </cell>
          <cell r="G55">
            <v>0</v>
          </cell>
          <cell r="J55">
            <v>0</v>
          </cell>
          <cell r="L55">
            <v>0</v>
          </cell>
          <cell r="M55">
            <v>0</v>
          </cell>
          <cell r="N55">
            <v>0</v>
          </cell>
          <cell r="O55">
            <v>0</v>
          </cell>
          <cell r="P55">
            <v>0</v>
          </cell>
          <cell r="S55">
            <v>0</v>
          </cell>
          <cell r="U55">
            <v>0</v>
          </cell>
          <cell r="X55">
            <v>0</v>
          </cell>
          <cell r="Y55">
            <v>0</v>
          </cell>
          <cell r="AA55">
            <v>0</v>
          </cell>
          <cell r="AB55">
            <v>0</v>
          </cell>
          <cell r="AC55">
            <v>0</v>
          </cell>
          <cell r="AD55">
            <v>0</v>
          </cell>
          <cell r="AE55">
            <v>0</v>
          </cell>
          <cell r="AF55">
            <v>0</v>
          </cell>
          <cell r="AG55">
            <v>0</v>
          </cell>
          <cell r="AH55">
            <v>0</v>
          </cell>
          <cell r="AI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v>0</v>
          </cell>
          <cell r="G56">
            <v>0</v>
          </cell>
          <cell r="J56">
            <v>0</v>
          </cell>
          <cell r="L56">
            <v>0</v>
          </cell>
          <cell r="M56">
            <v>0</v>
          </cell>
          <cell r="N56">
            <v>0</v>
          </cell>
          <cell r="O56">
            <v>0</v>
          </cell>
          <cell r="P56">
            <v>0</v>
          </cell>
          <cell r="S56">
            <v>0</v>
          </cell>
          <cell r="U56">
            <v>0</v>
          </cell>
          <cell r="X56">
            <v>0</v>
          </cell>
          <cell r="Y56">
            <v>0</v>
          </cell>
          <cell r="AA56">
            <v>0</v>
          </cell>
          <cell r="AB56">
            <v>0</v>
          </cell>
          <cell r="AC56">
            <v>0</v>
          </cell>
          <cell r="AD56">
            <v>0</v>
          </cell>
          <cell r="AE56">
            <v>0</v>
          </cell>
          <cell r="AF56">
            <v>0</v>
          </cell>
          <cell r="AG56">
            <v>0</v>
          </cell>
          <cell r="AH56">
            <v>0</v>
          </cell>
          <cell r="AI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v>0</v>
          </cell>
          <cell r="G57">
            <v>0</v>
          </cell>
          <cell r="J57">
            <v>0</v>
          </cell>
          <cell r="L57">
            <v>0</v>
          </cell>
          <cell r="M57">
            <v>0</v>
          </cell>
          <cell r="N57">
            <v>0</v>
          </cell>
          <cell r="O57">
            <v>0</v>
          </cell>
          <cell r="P57">
            <v>0</v>
          </cell>
          <cell r="S57">
            <v>0</v>
          </cell>
          <cell r="U57">
            <v>0</v>
          </cell>
          <cell r="X57">
            <v>0</v>
          </cell>
          <cell r="Y57">
            <v>0</v>
          </cell>
          <cell r="AA57">
            <v>0</v>
          </cell>
          <cell r="AB57">
            <v>0</v>
          </cell>
          <cell r="AC57">
            <v>0</v>
          </cell>
          <cell r="AD57">
            <v>0</v>
          </cell>
          <cell r="AE57">
            <v>0</v>
          </cell>
          <cell r="AF57">
            <v>0</v>
          </cell>
          <cell r="AG57">
            <v>0</v>
          </cell>
          <cell r="AH57">
            <v>0</v>
          </cell>
          <cell r="AI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v>0</v>
          </cell>
          <cell r="G58">
            <v>0</v>
          </cell>
          <cell r="J58">
            <v>0</v>
          </cell>
          <cell r="L58">
            <v>0</v>
          </cell>
          <cell r="M58">
            <v>0</v>
          </cell>
          <cell r="N58">
            <v>0</v>
          </cell>
          <cell r="O58">
            <v>0</v>
          </cell>
          <cell r="P58">
            <v>0</v>
          </cell>
          <cell r="S58">
            <v>0</v>
          </cell>
          <cell r="U58">
            <v>0</v>
          </cell>
          <cell r="X58">
            <v>0</v>
          </cell>
          <cell r="Y58">
            <v>0</v>
          </cell>
          <cell r="AA58">
            <v>0</v>
          </cell>
          <cell r="AB58">
            <v>0</v>
          </cell>
          <cell r="AC58">
            <v>0</v>
          </cell>
          <cell r="AD58">
            <v>0</v>
          </cell>
          <cell r="AE58">
            <v>0</v>
          </cell>
          <cell r="AF58">
            <v>0</v>
          </cell>
          <cell r="AG58">
            <v>0</v>
          </cell>
          <cell r="AH58">
            <v>0</v>
          </cell>
          <cell r="AI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v>0</v>
          </cell>
          <cell r="G59">
            <v>0</v>
          </cell>
          <cell r="J59">
            <v>0</v>
          </cell>
          <cell r="L59">
            <v>0</v>
          </cell>
          <cell r="M59">
            <v>0</v>
          </cell>
          <cell r="N59">
            <v>0</v>
          </cell>
          <cell r="O59">
            <v>0</v>
          </cell>
          <cell r="P59">
            <v>0</v>
          </cell>
          <cell r="S59">
            <v>0</v>
          </cell>
          <cell r="U59">
            <v>0</v>
          </cell>
          <cell r="X59">
            <v>0</v>
          </cell>
          <cell r="Y59">
            <v>0</v>
          </cell>
          <cell r="AA59">
            <v>0</v>
          </cell>
          <cell r="AB59">
            <v>0</v>
          </cell>
          <cell r="AC59">
            <v>0</v>
          </cell>
          <cell r="AD59">
            <v>0</v>
          </cell>
          <cell r="AE59">
            <v>0</v>
          </cell>
          <cell r="AF59">
            <v>0</v>
          </cell>
          <cell r="AG59">
            <v>0</v>
          </cell>
          <cell r="AH59">
            <v>0</v>
          </cell>
          <cell r="AI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v>0</v>
          </cell>
          <cell r="G60">
            <v>0</v>
          </cell>
          <cell r="J60">
            <v>0</v>
          </cell>
          <cell r="L60">
            <v>0</v>
          </cell>
          <cell r="M60">
            <v>0</v>
          </cell>
          <cell r="N60">
            <v>0</v>
          </cell>
          <cell r="O60">
            <v>0</v>
          </cell>
          <cell r="P60">
            <v>0</v>
          </cell>
          <cell r="S60">
            <v>0</v>
          </cell>
          <cell r="U60">
            <v>0</v>
          </cell>
          <cell r="X60">
            <v>0</v>
          </cell>
          <cell r="Y60">
            <v>0</v>
          </cell>
          <cell r="AA60">
            <v>0</v>
          </cell>
          <cell r="AB60">
            <v>0</v>
          </cell>
          <cell r="AC60">
            <v>0</v>
          </cell>
          <cell r="AD60">
            <v>0</v>
          </cell>
          <cell r="AE60">
            <v>0</v>
          </cell>
          <cell r="AF60">
            <v>0</v>
          </cell>
          <cell r="AG60">
            <v>0</v>
          </cell>
          <cell r="AH60">
            <v>0</v>
          </cell>
          <cell r="AI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v>0</v>
          </cell>
          <cell r="G61">
            <v>0</v>
          </cell>
          <cell r="J61">
            <v>0</v>
          </cell>
          <cell r="L61">
            <v>0</v>
          </cell>
          <cell r="M61">
            <v>0</v>
          </cell>
          <cell r="N61">
            <v>0</v>
          </cell>
          <cell r="O61">
            <v>0</v>
          </cell>
          <cell r="P61">
            <v>0</v>
          </cell>
          <cell r="S61">
            <v>0</v>
          </cell>
          <cell r="U61">
            <v>0</v>
          </cell>
          <cell r="X61">
            <v>0</v>
          </cell>
          <cell r="Y61">
            <v>0</v>
          </cell>
          <cell r="AA61">
            <v>0</v>
          </cell>
          <cell r="AB61">
            <v>0</v>
          </cell>
          <cell r="AC61">
            <v>0</v>
          </cell>
          <cell r="AD61">
            <v>0</v>
          </cell>
          <cell r="AE61">
            <v>0</v>
          </cell>
          <cell r="AF61">
            <v>0</v>
          </cell>
          <cell r="AG61">
            <v>0</v>
          </cell>
          <cell r="AH61">
            <v>0</v>
          </cell>
          <cell r="AI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v>0</v>
          </cell>
          <cell r="G62">
            <v>0</v>
          </cell>
          <cell r="J62">
            <v>0</v>
          </cell>
          <cell r="L62">
            <v>0</v>
          </cell>
          <cell r="M62">
            <v>0</v>
          </cell>
          <cell r="N62">
            <v>0</v>
          </cell>
          <cell r="O62">
            <v>0</v>
          </cell>
          <cell r="P62">
            <v>0</v>
          </cell>
          <cell r="S62">
            <v>0</v>
          </cell>
          <cell r="U62">
            <v>0</v>
          </cell>
          <cell r="X62">
            <v>0</v>
          </cell>
          <cell r="Y62">
            <v>0</v>
          </cell>
          <cell r="AA62">
            <v>0</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v>0</v>
          </cell>
          <cell r="G63">
            <v>0</v>
          </cell>
          <cell r="J63">
            <v>0</v>
          </cell>
          <cell r="L63">
            <v>0</v>
          </cell>
          <cell r="M63">
            <v>0</v>
          </cell>
          <cell r="N63">
            <v>0</v>
          </cell>
          <cell r="O63">
            <v>0</v>
          </cell>
          <cell r="P63">
            <v>0</v>
          </cell>
          <cell r="S63">
            <v>0</v>
          </cell>
          <cell r="U63">
            <v>0</v>
          </cell>
          <cell r="X63">
            <v>0</v>
          </cell>
          <cell r="Y63">
            <v>0</v>
          </cell>
          <cell r="AA63">
            <v>0</v>
          </cell>
          <cell r="AB63">
            <v>0</v>
          </cell>
          <cell r="AC63">
            <v>0</v>
          </cell>
          <cell r="AD63">
            <v>0</v>
          </cell>
          <cell r="AE63">
            <v>0</v>
          </cell>
          <cell r="AF63">
            <v>0</v>
          </cell>
          <cell r="AG63">
            <v>0</v>
          </cell>
          <cell r="AH63">
            <v>0</v>
          </cell>
          <cell r="AI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v>0</v>
          </cell>
          <cell r="G64">
            <v>0</v>
          </cell>
          <cell r="J64">
            <v>0</v>
          </cell>
          <cell r="L64">
            <v>0</v>
          </cell>
          <cell r="M64">
            <v>0</v>
          </cell>
          <cell r="N64">
            <v>0</v>
          </cell>
          <cell r="O64">
            <v>0</v>
          </cell>
          <cell r="P64">
            <v>0</v>
          </cell>
          <cell r="S64">
            <v>0</v>
          </cell>
          <cell r="U64">
            <v>0</v>
          </cell>
          <cell r="X64">
            <v>0</v>
          </cell>
          <cell r="Y64">
            <v>0</v>
          </cell>
          <cell r="AA64">
            <v>0</v>
          </cell>
          <cell r="AB64">
            <v>0</v>
          </cell>
          <cell r="AC64">
            <v>0</v>
          </cell>
          <cell r="AD64">
            <v>0</v>
          </cell>
          <cell r="AE64">
            <v>0</v>
          </cell>
          <cell r="AF64">
            <v>0</v>
          </cell>
          <cell r="AG64">
            <v>0</v>
          </cell>
          <cell r="AH64">
            <v>0</v>
          </cell>
          <cell r="AI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v>0</v>
          </cell>
          <cell r="G65">
            <v>0</v>
          </cell>
          <cell r="J65">
            <v>0</v>
          </cell>
          <cell r="L65">
            <v>0</v>
          </cell>
          <cell r="M65">
            <v>0</v>
          </cell>
          <cell r="N65">
            <v>0</v>
          </cell>
          <cell r="O65">
            <v>0</v>
          </cell>
          <cell r="P65">
            <v>0</v>
          </cell>
          <cell r="S65">
            <v>0</v>
          </cell>
          <cell r="U65">
            <v>0</v>
          </cell>
          <cell r="X65">
            <v>0</v>
          </cell>
          <cell r="Y65">
            <v>0</v>
          </cell>
          <cell r="AA65">
            <v>0</v>
          </cell>
          <cell r="AB65">
            <v>0</v>
          </cell>
          <cell r="AC65">
            <v>0</v>
          </cell>
          <cell r="AD65">
            <v>0</v>
          </cell>
          <cell r="AE65">
            <v>0</v>
          </cell>
          <cell r="AF65">
            <v>0</v>
          </cell>
          <cell r="AG65">
            <v>0</v>
          </cell>
          <cell r="AH65">
            <v>0</v>
          </cell>
          <cell r="AI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v>0</v>
          </cell>
          <cell r="G66">
            <v>0</v>
          </cell>
          <cell r="J66">
            <v>0</v>
          </cell>
          <cell r="L66">
            <v>0</v>
          </cell>
          <cell r="M66">
            <v>0</v>
          </cell>
          <cell r="N66">
            <v>0</v>
          </cell>
          <cell r="O66">
            <v>0</v>
          </cell>
          <cell r="P66">
            <v>0</v>
          </cell>
          <cell r="S66">
            <v>0</v>
          </cell>
          <cell r="U66">
            <v>0</v>
          </cell>
          <cell r="X66">
            <v>0</v>
          </cell>
          <cell r="Y66">
            <v>0</v>
          </cell>
          <cell r="AA66">
            <v>0</v>
          </cell>
          <cell r="AB66">
            <v>0</v>
          </cell>
          <cell r="AC66">
            <v>0</v>
          </cell>
          <cell r="AD66">
            <v>0</v>
          </cell>
          <cell r="AE66">
            <v>0</v>
          </cell>
          <cell r="AF66">
            <v>0</v>
          </cell>
          <cell r="AG66">
            <v>0</v>
          </cell>
          <cell r="AH66">
            <v>0</v>
          </cell>
          <cell r="AI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v>0</v>
          </cell>
          <cell r="G67">
            <v>0</v>
          </cell>
          <cell r="J67">
            <v>0</v>
          </cell>
          <cell r="L67">
            <v>0</v>
          </cell>
          <cell r="M67">
            <v>0</v>
          </cell>
          <cell r="N67">
            <v>0</v>
          </cell>
          <cell r="O67">
            <v>0</v>
          </cell>
          <cell r="P67">
            <v>0</v>
          </cell>
          <cell r="S67">
            <v>0</v>
          </cell>
          <cell r="U67">
            <v>0</v>
          </cell>
          <cell r="X67">
            <v>0</v>
          </cell>
          <cell r="Y67">
            <v>0</v>
          </cell>
          <cell r="AA67">
            <v>0</v>
          </cell>
          <cell r="AB67">
            <v>0</v>
          </cell>
          <cell r="AC67">
            <v>0</v>
          </cell>
          <cell r="AD67">
            <v>0</v>
          </cell>
          <cell r="AE67">
            <v>0</v>
          </cell>
          <cell r="AF67">
            <v>0</v>
          </cell>
          <cell r="AG67">
            <v>0</v>
          </cell>
          <cell r="AH67">
            <v>0</v>
          </cell>
          <cell r="AI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v>0</v>
          </cell>
          <cell r="G68">
            <v>0</v>
          </cell>
          <cell r="J68">
            <v>0</v>
          </cell>
          <cell r="L68">
            <v>0</v>
          </cell>
          <cell r="M68">
            <v>0</v>
          </cell>
          <cell r="N68">
            <v>0</v>
          </cell>
          <cell r="O68">
            <v>0</v>
          </cell>
          <cell r="P68">
            <v>0</v>
          </cell>
          <cell r="S68">
            <v>0</v>
          </cell>
          <cell r="U68">
            <v>0</v>
          </cell>
          <cell r="X68">
            <v>0</v>
          </cell>
          <cell r="Y68">
            <v>0</v>
          </cell>
          <cell r="AA68">
            <v>0</v>
          </cell>
          <cell r="AB68">
            <v>0</v>
          </cell>
          <cell r="AC68">
            <v>0</v>
          </cell>
          <cell r="AD68">
            <v>0</v>
          </cell>
          <cell r="AE68">
            <v>0</v>
          </cell>
          <cell r="AF68">
            <v>0</v>
          </cell>
          <cell r="AG68">
            <v>0</v>
          </cell>
          <cell r="AH68">
            <v>0</v>
          </cell>
          <cell r="AI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v>0</v>
          </cell>
          <cell r="G69">
            <v>0</v>
          </cell>
          <cell r="J69">
            <v>0</v>
          </cell>
          <cell r="L69">
            <v>0</v>
          </cell>
          <cell r="M69">
            <v>0</v>
          </cell>
          <cell r="N69">
            <v>0</v>
          </cell>
          <cell r="O69">
            <v>0</v>
          </cell>
          <cell r="P69">
            <v>0</v>
          </cell>
          <cell r="S69">
            <v>0</v>
          </cell>
          <cell r="U69">
            <v>0</v>
          </cell>
          <cell r="X69">
            <v>0</v>
          </cell>
          <cell r="Y69">
            <v>0</v>
          </cell>
          <cell r="AA69">
            <v>0</v>
          </cell>
          <cell r="AB69">
            <v>0</v>
          </cell>
          <cell r="AC69">
            <v>0</v>
          </cell>
          <cell r="AD69">
            <v>0</v>
          </cell>
          <cell r="AE69">
            <v>0</v>
          </cell>
          <cell r="AF69">
            <v>0</v>
          </cell>
          <cell r="AG69">
            <v>0</v>
          </cell>
          <cell r="AH69">
            <v>0</v>
          </cell>
          <cell r="AI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v>0</v>
          </cell>
          <cell r="G70">
            <v>0</v>
          </cell>
          <cell r="J70">
            <v>0</v>
          </cell>
          <cell r="L70">
            <v>0</v>
          </cell>
          <cell r="M70">
            <v>0</v>
          </cell>
          <cell r="N70">
            <v>0</v>
          </cell>
          <cell r="O70">
            <v>0</v>
          </cell>
          <cell r="P70">
            <v>0</v>
          </cell>
          <cell r="S70">
            <v>0</v>
          </cell>
          <cell r="U70">
            <v>0</v>
          </cell>
          <cell r="X70">
            <v>0</v>
          </cell>
          <cell r="Y70">
            <v>0</v>
          </cell>
          <cell r="AA70">
            <v>0</v>
          </cell>
          <cell r="AB70">
            <v>0</v>
          </cell>
          <cell r="AC70">
            <v>0</v>
          </cell>
          <cell r="AD70">
            <v>0</v>
          </cell>
          <cell r="AE70">
            <v>0</v>
          </cell>
          <cell r="AF70">
            <v>0</v>
          </cell>
          <cell r="AG70">
            <v>0</v>
          </cell>
          <cell r="AH70">
            <v>0</v>
          </cell>
          <cell r="AI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v>0</v>
          </cell>
          <cell r="G71">
            <v>0</v>
          </cell>
          <cell r="J71">
            <v>0</v>
          </cell>
          <cell r="L71">
            <v>0</v>
          </cell>
          <cell r="M71">
            <v>0</v>
          </cell>
          <cell r="N71">
            <v>0</v>
          </cell>
          <cell r="O71">
            <v>0</v>
          </cell>
          <cell r="P71">
            <v>0</v>
          </cell>
          <cell r="S71">
            <v>0</v>
          </cell>
          <cell r="U71">
            <v>0</v>
          </cell>
          <cell r="X71">
            <v>0</v>
          </cell>
          <cell r="Y71">
            <v>0</v>
          </cell>
          <cell r="AA71">
            <v>0</v>
          </cell>
          <cell r="AB71">
            <v>0</v>
          </cell>
          <cell r="AC71">
            <v>0</v>
          </cell>
          <cell r="AD71">
            <v>0</v>
          </cell>
          <cell r="AE71">
            <v>0</v>
          </cell>
          <cell r="AF71">
            <v>0</v>
          </cell>
          <cell r="AG71">
            <v>0</v>
          </cell>
          <cell r="AH71">
            <v>0</v>
          </cell>
          <cell r="AI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ow r="12">
          <cell r="A12">
            <v>1</v>
          </cell>
        </row>
      </sheetData>
      <sheetData sheetId="9"/>
      <sheetData sheetId="10"/>
      <sheetData sheetId="11">
        <row r="12">
          <cell r="A12">
            <v>1</v>
          </cell>
        </row>
      </sheetData>
      <sheetData sheetId="12"/>
      <sheetData sheetId="13"/>
      <sheetData sheetId="14"/>
      <sheetData sheetId="15"/>
      <sheetData sheetId="16"/>
      <sheetData sheetId="17" refreshError="1"/>
      <sheetData sheetId="18" refreshError="1"/>
      <sheetData sheetId="19" refreshError="1"/>
      <sheetData sheetId="20">
        <row r="12">
          <cell r="A12" t="str">
            <v>Dirección proyectos aguas, Saneamiento, Gas y locativos 2 (PL 2)</v>
          </cell>
        </row>
      </sheetData>
      <sheetData sheetId="21"/>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Entrada"/>
      <sheetName val="DatosEntradaPlanta"/>
      <sheetName val="DatosEntradaPerfil"/>
      <sheetName val="DatosEntradaTerreno"/>
      <sheetName val="DatosPerfilPlanta"/>
      <sheetName val="Deflex_comb"/>
      <sheetName val="Anclajes"/>
      <sheetName val="PresDatosEntrada"/>
      <sheetName val="Pres_Ancla"/>
      <sheetName val="CD"/>
      <sheetName val="Cantidad_total"/>
      <sheetName val="DeflexMaximas"/>
      <sheetName val="Peso_de_Tubería"/>
      <sheetName val="L codos"/>
      <sheetName val="Datos(no uso)"/>
      <sheetName val="Presen_Alinea"/>
      <sheetName val="perfil (no uso)"/>
      <sheetName val="Tabla_Plantav"/>
      <sheetName val="Tabla_total"/>
      <sheetName val="peso_codos"/>
      <sheetName val="Cantidad_total (2)"/>
      <sheetName val="LISTA TOTAL"/>
      <sheetName val="LISTA CÓDIGOS"/>
      <sheetName val="BASE APU"/>
      <sheetName val="MANO DE OBRA"/>
      <sheetName val="INSUMOS"/>
      <sheetName val="EQUIPOS"/>
      <sheetName val="MATERIALES"/>
      <sheetName val="ESTRUCTURAS"/>
      <sheetName val="TRANS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B2">
            <v>300</v>
          </cell>
          <cell r="C2">
            <v>350</v>
          </cell>
          <cell r="D2">
            <v>400</v>
          </cell>
          <cell r="E2">
            <v>450</v>
          </cell>
          <cell r="F2">
            <v>500</v>
          </cell>
          <cell r="G2">
            <v>600</v>
          </cell>
          <cell r="H2">
            <v>700</v>
          </cell>
          <cell r="I2">
            <v>800</v>
          </cell>
          <cell r="J2">
            <v>900</v>
          </cell>
          <cell r="K2">
            <v>1000</v>
          </cell>
          <cell r="L2">
            <v>1100</v>
          </cell>
          <cell r="M2">
            <v>1200</v>
          </cell>
          <cell r="N2">
            <v>1300</v>
          </cell>
          <cell r="O2">
            <v>1400</v>
          </cell>
          <cell r="P2">
            <v>1600</v>
          </cell>
          <cell r="Q2">
            <v>1800</v>
          </cell>
          <cell r="R2">
            <v>2000</v>
          </cell>
          <cell r="S2">
            <v>2100</v>
          </cell>
          <cell r="T2">
            <v>2200</v>
          </cell>
          <cell r="U2">
            <v>2300</v>
          </cell>
          <cell r="V2">
            <v>2400</v>
          </cell>
        </row>
        <row r="3">
          <cell r="A3">
            <v>1E-4</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row>
        <row r="4">
          <cell r="A4">
            <v>11.2501</v>
          </cell>
          <cell r="B4">
            <v>0.57969999999999999</v>
          </cell>
          <cell r="C4">
            <v>0.64410000000000001</v>
          </cell>
          <cell r="D4">
            <v>0.45</v>
          </cell>
          <cell r="E4">
            <v>0.45</v>
          </cell>
          <cell r="F4">
            <v>0.45</v>
          </cell>
          <cell r="G4">
            <v>0.4</v>
          </cell>
          <cell r="H4">
            <v>0.4</v>
          </cell>
          <cell r="I4">
            <v>0.45</v>
          </cell>
          <cell r="J4">
            <v>0.45</v>
          </cell>
          <cell r="K4">
            <v>0.45</v>
          </cell>
          <cell r="L4">
            <v>0.5</v>
          </cell>
          <cell r="M4">
            <v>0.5</v>
          </cell>
          <cell r="N4">
            <v>0.6</v>
          </cell>
          <cell r="O4">
            <v>0.6</v>
          </cell>
          <cell r="P4">
            <v>0.65</v>
          </cell>
          <cell r="Q4">
            <v>0.7</v>
          </cell>
          <cell r="R4">
            <v>0.7</v>
          </cell>
          <cell r="S4">
            <v>0.7</v>
          </cell>
          <cell r="T4">
            <v>0.7</v>
          </cell>
          <cell r="U4">
            <v>0.7</v>
          </cell>
          <cell r="V4">
            <v>0.7</v>
          </cell>
        </row>
        <row r="5">
          <cell r="A5">
            <v>15</v>
          </cell>
          <cell r="B5">
            <v>0.57969999999999999</v>
          </cell>
          <cell r="C5">
            <v>0.64410000000000001</v>
          </cell>
          <cell r="D5">
            <v>0.45</v>
          </cell>
          <cell r="E5">
            <v>0.5</v>
          </cell>
          <cell r="F5">
            <v>0.5</v>
          </cell>
          <cell r="G5">
            <v>0.4</v>
          </cell>
          <cell r="H5">
            <v>0.45</v>
          </cell>
          <cell r="I5">
            <v>0.45</v>
          </cell>
          <cell r="J5">
            <v>0.5</v>
          </cell>
          <cell r="K5">
            <v>0.5</v>
          </cell>
          <cell r="L5">
            <v>0.55000000000000004</v>
          </cell>
          <cell r="M5">
            <v>0.6</v>
          </cell>
          <cell r="N5">
            <v>0.65</v>
          </cell>
          <cell r="O5">
            <v>0.65</v>
          </cell>
          <cell r="P5">
            <v>0.75</v>
          </cell>
          <cell r="Q5">
            <v>0.8</v>
          </cell>
          <cell r="R5">
            <v>0.8</v>
          </cell>
          <cell r="S5">
            <v>0.8</v>
          </cell>
          <cell r="T5">
            <v>0.8</v>
          </cell>
          <cell r="U5">
            <v>0.8</v>
          </cell>
          <cell r="V5">
            <v>0.8</v>
          </cell>
        </row>
        <row r="6">
          <cell r="A6">
            <v>22.5001</v>
          </cell>
          <cell r="B6">
            <v>0.44690000000000002</v>
          </cell>
          <cell r="C6">
            <v>0.4788</v>
          </cell>
          <cell r="D6">
            <v>0.45</v>
          </cell>
          <cell r="E6">
            <v>0.5</v>
          </cell>
          <cell r="F6">
            <v>0.5</v>
          </cell>
          <cell r="G6">
            <v>0.4</v>
          </cell>
          <cell r="H6">
            <v>0.45</v>
          </cell>
          <cell r="I6">
            <v>0.45</v>
          </cell>
          <cell r="J6">
            <v>0.5</v>
          </cell>
          <cell r="K6">
            <v>0.5</v>
          </cell>
          <cell r="L6">
            <v>0.55000000000000004</v>
          </cell>
          <cell r="M6">
            <v>0.6</v>
          </cell>
          <cell r="N6">
            <v>0.65</v>
          </cell>
          <cell r="O6">
            <v>0.65</v>
          </cell>
          <cell r="P6">
            <v>0.75</v>
          </cell>
          <cell r="Q6">
            <v>0.8</v>
          </cell>
          <cell r="R6">
            <v>0.8</v>
          </cell>
          <cell r="S6">
            <v>0.8</v>
          </cell>
          <cell r="T6">
            <v>0.8</v>
          </cell>
          <cell r="U6">
            <v>0.8</v>
          </cell>
          <cell r="V6">
            <v>0.8</v>
          </cell>
        </row>
        <row r="7">
          <cell r="A7">
            <v>30</v>
          </cell>
          <cell r="B7">
            <v>0.44690000000000002</v>
          </cell>
          <cell r="C7">
            <v>0.4788</v>
          </cell>
          <cell r="D7">
            <v>0.65</v>
          </cell>
          <cell r="E7">
            <v>0.7</v>
          </cell>
          <cell r="F7">
            <v>0.75</v>
          </cell>
          <cell r="G7">
            <v>0.6</v>
          </cell>
          <cell r="H7">
            <v>0.65</v>
          </cell>
          <cell r="I7">
            <v>0.7</v>
          </cell>
          <cell r="J7">
            <v>0.8</v>
          </cell>
          <cell r="K7">
            <v>0.85</v>
          </cell>
          <cell r="L7">
            <v>0.9</v>
          </cell>
          <cell r="M7">
            <v>0.95</v>
          </cell>
          <cell r="N7">
            <v>1.05</v>
          </cell>
          <cell r="O7">
            <v>1.1000000000000001</v>
          </cell>
          <cell r="P7">
            <v>1.25</v>
          </cell>
          <cell r="Q7">
            <v>1.35</v>
          </cell>
          <cell r="R7">
            <v>1.45</v>
          </cell>
          <cell r="S7">
            <v>1.5</v>
          </cell>
          <cell r="T7">
            <v>1.55</v>
          </cell>
          <cell r="U7">
            <v>1.55</v>
          </cell>
          <cell r="V7">
            <v>1.55</v>
          </cell>
        </row>
        <row r="8">
          <cell r="A8">
            <v>45.000100000000003</v>
          </cell>
          <cell r="B8">
            <v>0.3372</v>
          </cell>
          <cell r="C8">
            <v>0.30659999999999998</v>
          </cell>
          <cell r="D8">
            <v>0.65</v>
          </cell>
          <cell r="E8">
            <v>0.7</v>
          </cell>
          <cell r="F8">
            <v>0.75</v>
          </cell>
          <cell r="G8">
            <v>0.6</v>
          </cell>
          <cell r="H8">
            <v>0.65</v>
          </cell>
          <cell r="I8">
            <v>0.7</v>
          </cell>
          <cell r="J8">
            <v>0.8</v>
          </cell>
          <cell r="K8">
            <v>0.85</v>
          </cell>
          <cell r="L8">
            <v>0.9</v>
          </cell>
          <cell r="M8">
            <v>0.95</v>
          </cell>
          <cell r="N8">
            <v>1.05</v>
          </cell>
          <cell r="O8">
            <v>1.1000000000000001</v>
          </cell>
          <cell r="P8">
            <v>1.25</v>
          </cell>
          <cell r="Q8">
            <v>1.35</v>
          </cell>
          <cell r="R8">
            <v>1.45</v>
          </cell>
          <cell r="S8">
            <v>1.5</v>
          </cell>
          <cell r="T8">
            <v>1.55</v>
          </cell>
          <cell r="U8">
            <v>1.55</v>
          </cell>
          <cell r="V8">
            <v>1.55</v>
          </cell>
        </row>
        <row r="9">
          <cell r="A9">
            <v>60</v>
          </cell>
          <cell r="B9">
            <v>0.3372</v>
          </cell>
          <cell r="C9">
            <v>0.30659999999999998</v>
          </cell>
          <cell r="D9">
            <v>0.9</v>
          </cell>
          <cell r="E9">
            <v>1</v>
          </cell>
          <cell r="F9">
            <v>1.05</v>
          </cell>
          <cell r="G9">
            <v>1.1000000000000001</v>
          </cell>
          <cell r="H9">
            <v>1.2</v>
          </cell>
          <cell r="I9">
            <v>1.35</v>
          </cell>
          <cell r="J9">
            <v>1.5</v>
          </cell>
          <cell r="K9">
            <v>1.65</v>
          </cell>
          <cell r="L9">
            <v>1.8</v>
          </cell>
          <cell r="M9">
            <v>1.95</v>
          </cell>
          <cell r="N9">
            <v>2.1</v>
          </cell>
          <cell r="O9">
            <v>2.25</v>
          </cell>
          <cell r="P9">
            <v>2.5499999999999998</v>
          </cell>
          <cell r="Q9">
            <v>2.85</v>
          </cell>
          <cell r="R9">
            <v>3.1</v>
          </cell>
          <cell r="S9">
            <v>3.2</v>
          </cell>
          <cell r="T9">
            <v>3.35</v>
          </cell>
          <cell r="U9">
            <v>3.45</v>
          </cell>
          <cell r="V9">
            <v>3.6</v>
          </cell>
        </row>
        <row r="10">
          <cell r="A10">
            <v>90.000100000000003</v>
          </cell>
          <cell r="B10">
            <v>0.2286</v>
          </cell>
          <cell r="C10">
            <v>0.29220000000000002</v>
          </cell>
          <cell r="D10">
            <v>0.9</v>
          </cell>
          <cell r="E10">
            <v>1</v>
          </cell>
          <cell r="F10">
            <v>1.05</v>
          </cell>
          <cell r="G10">
            <v>1.1000000000000001</v>
          </cell>
          <cell r="H10">
            <v>1.2</v>
          </cell>
          <cell r="I10">
            <v>1.35</v>
          </cell>
          <cell r="J10">
            <v>1.5</v>
          </cell>
          <cell r="K10">
            <v>1.65</v>
          </cell>
          <cell r="L10">
            <v>1.8</v>
          </cell>
          <cell r="M10">
            <v>1.95</v>
          </cell>
          <cell r="N10">
            <v>2.1</v>
          </cell>
          <cell r="O10">
            <v>2.25</v>
          </cell>
          <cell r="P10">
            <v>2.5499999999999998</v>
          </cell>
          <cell r="Q10">
            <v>2.85</v>
          </cell>
          <cell r="R10">
            <v>3.1</v>
          </cell>
          <cell r="S10">
            <v>3.2</v>
          </cell>
          <cell r="T10">
            <v>3.35</v>
          </cell>
          <cell r="U10">
            <v>3.45</v>
          </cell>
          <cell r="V10">
            <v>3.6</v>
          </cell>
        </row>
      </sheetData>
      <sheetData sheetId="14"/>
      <sheetData sheetId="15"/>
      <sheetData sheetId="16"/>
      <sheetData sheetId="17"/>
      <sheetData sheetId="18"/>
      <sheetData sheetId="19"/>
      <sheetData sheetId="20"/>
      <sheetData sheetId="21"/>
      <sheetData sheetId="22"/>
      <sheetData sheetId="23">
        <row r="2">
          <cell r="B2" t="str">
            <v xml:space="preserve">ANÁLISIS DE PRECIOS UNITARIOS </v>
          </cell>
        </row>
      </sheetData>
      <sheetData sheetId="24"/>
      <sheetData sheetId="25"/>
      <sheetData sheetId="26"/>
      <sheetData sheetId="27"/>
      <sheetData sheetId="28"/>
      <sheetData sheetId="2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
      <sheetName val="Lista de precios"/>
      <sheetName val="CONCRETO"/>
      <sheetName val="NOVAFORT"/>
      <sheetName val="NOVALOC"/>
      <sheetName val="AlCANTARILLADO"/>
      <sheetName val="PRESION"/>
      <sheetName val="PRESION (2)"/>
      <sheetName val="SANITARIA"/>
      <sheetName val="SANITARIA (2)"/>
      <sheetName val="CPVC"/>
      <sheetName val="CANALES"/>
      <sheetName val="CONDUIT"/>
      <sheetName val="CONDUIT (2)"/>
      <sheetName val="UNION-PLATINO"/>
      <sheetName val="UNION-PLATINO (2)"/>
      <sheetName val="UNION-PLATINO (3)"/>
      <sheetName val="UNION-PLATINO (4)"/>
      <sheetName val="PEAD"/>
      <sheetName val="PEAD 1"/>
      <sheetName val="PEAD 2"/>
      <sheetName val="PRES.AGRI"/>
      <sheetName val="CORR.DREN"/>
      <sheetName val="POZOS"/>
      <sheetName val="RIEGO-CONDUCC."/>
      <sheetName val="RIEGO MOVIL"/>
      <sheetName va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
      <sheetName val="CONCRETO"/>
      <sheetName val="NOVAFORT"/>
      <sheetName val="NOVALOC"/>
      <sheetName val="AlCANTARILLADO"/>
      <sheetName val="PRESION"/>
      <sheetName val="PRESION (2)"/>
      <sheetName val="SANITARIA"/>
      <sheetName val="SANITARIA (2)"/>
      <sheetName val="CPVC"/>
      <sheetName val="CANALES"/>
      <sheetName val="CONDUIT"/>
      <sheetName val="CONDUIT (2)"/>
      <sheetName val="UNION-PLATINO"/>
      <sheetName val="UNION-PLATINO (2)"/>
      <sheetName val="UNION-PLATINO (3)"/>
      <sheetName val="UNION-PLATINO (4)"/>
      <sheetName val="PEAD"/>
      <sheetName val="PEAD 1"/>
      <sheetName val="PEAD 2"/>
      <sheetName val="PRES.AGRI"/>
      <sheetName val="CORR.DREN"/>
      <sheetName val="POZOS"/>
      <sheetName val="RIEGO-CONDUCC."/>
      <sheetName val="RIEGO MOVIL"/>
      <sheetName val="GAS"/>
      <sheetName val="Lista 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PRESTACIONES"/>
      <sheetName val="BASE"/>
      <sheetName val="BASE_Concretos"/>
      <sheetName val="RedesSRO_General"/>
      <sheetName val="DomiciliariasSRO_General"/>
      <sheetName val="ObrasComplementariasSRO_Genera "/>
      <sheetName val="ColecRioGrande_Redes"/>
      <sheetName val="ColecRioGrande_Domiciliarias"/>
      <sheetName val="ColecRioGrande_Complementarias"/>
      <sheetName val="ColecLaMorales_Redes"/>
      <sheetName val="ColecLaMorales_Domiciliarias"/>
      <sheetName val="ColecLaMorales_Complementarias"/>
      <sheetName val="ColecLaMuerte_Redes"/>
      <sheetName val="ColecLaMuerte_Domiciliarias"/>
      <sheetName val="ColecLaMuerte_Complementarias"/>
      <sheetName val="IntercRioGrande_Redes"/>
      <sheetName val="IntercRioGrande_Complementarias"/>
      <sheetName val="APU_Redes"/>
      <sheetName val="APUDomiciliarias"/>
      <sheetName val="APUObrasComplementarias"/>
      <sheetName val="APU_Colector Riogrande"/>
      <sheetName val="APUDomiciliarias colecRioGrande"/>
      <sheetName val="APU ColRiograndeComplementarias"/>
      <sheetName val="APU_Colector LaMorales"/>
      <sheetName val="APUDomiciliarias colecLaMorales"/>
      <sheetName val="APU ColecLaMorales Complementa"/>
      <sheetName val="APU_Colector LaMuerte"/>
      <sheetName val="APUDomiciliarias colecLaMuerte"/>
      <sheetName val="APU colecLaMuertecomplem"/>
      <sheetName val="APU_IntercRiogrande"/>
      <sheetName val="APU InterrcRiogrande Compleme "/>
      <sheetName val="RESUMEN OB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Ene-Dic_EEPPM2"/>
      <sheetName val="May-Dic_Contrato2"/>
      <sheetName val="Ene-Dic_EEPPM1"/>
      <sheetName val="May-Dic_Contrato1"/>
      <sheetName val="GRUPO 3"/>
      <sheetName val="Liquidación de Obra x Administr"/>
      <sheetName val="LISTA CÓDIGOS"/>
      <sheetName val="BASE APU"/>
      <sheetName val="MANO DE OBRA"/>
      <sheetName val="INSUMOS"/>
      <sheetName val="EQUIPOS"/>
      <sheetName val="MATERIALES"/>
      <sheetName val="ESTRUCTURAS"/>
      <sheetName val="TRANSPORTE"/>
      <sheetName val="Hoja1"/>
      <sheetName val="28oct"/>
      <sheetName val="Macro1"/>
    </sheetNames>
    <sheetDataSet>
      <sheetData sheetId="0" refreshError="1">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v>0</v>
          </cell>
          <cell r="G14">
            <v>0</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v>0</v>
          </cell>
          <cell r="G18">
            <v>0</v>
          </cell>
          <cell r="H18">
            <v>0.61538461538461542</v>
          </cell>
        </row>
        <row r="19">
          <cell r="A19" t="str">
            <v>INSTALACIONES ACUEDUCTO</v>
          </cell>
          <cell r="B19">
            <v>5</v>
          </cell>
          <cell r="C19">
            <v>81</v>
          </cell>
          <cell r="F19">
            <v>0</v>
          </cell>
          <cell r="G19">
            <v>0</v>
          </cell>
          <cell r="H19">
            <v>0.94186046511627908</v>
          </cell>
        </row>
        <row r="20">
          <cell r="A20" t="str">
            <v>INSTALACIONES ALCANTARILLADO</v>
          </cell>
          <cell r="B20">
            <v>5</v>
          </cell>
          <cell r="C20">
            <v>0</v>
          </cell>
          <cell r="F20">
            <v>0</v>
          </cell>
          <cell r="G20">
            <v>0</v>
          </cell>
          <cell r="H20">
            <v>0</v>
          </cell>
        </row>
        <row r="21">
          <cell r="A21" t="str">
            <v>MEDIDORES 1/2 Y 1"</v>
          </cell>
          <cell r="B21">
            <v>19</v>
          </cell>
          <cell r="C21">
            <v>16</v>
          </cell>
          <cell r="F21">
            <v>0</v>
          </cell>
          <cell r="G21">
            <v>0</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v>0</v>
          </cell>
          <cell r="G23">
            <v>0</v>
          </cell>
          <cell r="H23">
            <v>0</v>
          </cell>
        </row>
        <row r="24">
          <cell r="A24" t="str">
            <v>OBRAS ACCESORIAS INSTALACIONES</v>
          </cell>
          <cell r="B24">
            <v>653</v>
          </cell>
          <cell r="C24">
            <v>0</v>
          </cell>
          <cell r="F24">
            <v>0</v>
          </cell>
          <cell r="G24">
            <v>0</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v>0</v>
          </cell>
          <cell r="G26">
            <v>0</v>
          </cell>
          <cell r="H26">
            <v>0.56880733944954132</v>
          </cell>
        </row>
        <row r="27">
          <cell r="A27" t="str">
            <v>REFERENCIACIÓN ACUEDUCTO</v>
          </cell>
          <cell r="B27">
            <v>3</v>
          </cell>
          <cell r="C27">
            <v>3</v>
          </cell>
          <cell r="F27">
            <v>0</v>
          </cell>
          <cell r="G27">
            <v>0</v>
          </cell>
          <cell r="H27">
            <v>0.5</v>
          </cell>
        </row>
        <row r="28">
          <cell r="A28" t="str">
            <v>REPARACION CAJAS DE MEDIDORES</v>
          </cell>
          <cell r="B28">
            <v>1</v>
          </cell>
          <cell r="C28">
            <v>19</v>
          </cell>
          <cell r="F28">
            <v>0</v>
          </cell>
          <cell r="G28">
            <v>0</v>
          </cell>
          <cell r="H28">
            <v>0.95</v>
          </cell>
        </row>
        <row r="29">
          <cell r="A29" t="str">
            <v>RETIRO MEDIDOR</v>
          </cell>
          <cell r="B29">
            <v>113</v>
          </cell>
          <cell r="C29">
            <v>65</v>
          </cell>
          <cell r="F29">
            <v>0</v>
          </cell>
          <cell r="G29">
            <v>0</v>
          </cell>
          <cell r="H29">
            <v>0.3651685393258427</v>
          </cell>
        </row>
        <row r="30">
          <cell r="A30" t="str">
            <v>TAPONADAS</v>
          </cell>
          <cell r="B30">
            <v>1</v>
          </cell>
          <cell r="C30">
            <v>7</v>
          </cell>
          <cell r="F30">
            <v>0</v>
          </cell>
          <cell r="G30">
            <v>0</v>
          </cell>
          <cell r="H30">
            <v>0.875</v>
          </cell>
        </row>
        <row r="31">
          <cell r="A31" t="str">
            <v>TRASLADO MEDIDOR</v>
          </cell>
          <cell r="B31">
            <v>0</v>
          </cell>
          <cell r="C31">
            <v>6</v>
          </cell>
          <cell r="F31">
            <v>0</v>
          </cell>
          <cell r="G31">
            <v>0</v>
          </cell>
          <cell r="H31">
            <v>1</v>
          </cell>
        </row>
        <row r="32">
          <cell r="F32">
            <v>0</v>
          </cell>
          <cell r="G32">
            <v>0</v>
          </cell>
          <cell r="H32">
            <v>0</v>
          </cell>
        </row>
        <row r="33">
          <cell r="A33" t="str">
            <v>Total general</v>
          </cell>
          <cell r="B33">
            <v>2526</v>
          </cell>
          <cell r="C33">
            <v>1351</v>
          </cell>
          <cell r="F33">
            <v>0</v>
          </cell>
          <cell r="G33">
            <v>0</v>
          </cell>
          <cell r="H33">
            <v>0.34846530822801136</v>
          </cell>
        </row>
        <row r="34">
          <cell r="F34">
            <v>0</v>
          </cell>
          <cell r="G34">
            <v>0</v>
          </cell>
          <cell r="H34">
            <v>0</v>
          </cell>
        </row>
      </sheetData>
      <sheetData sheetId="1" refreshError="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v>0</v>
          </cell>
          <cell r="G14">
            <v>0</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v>0</v>
          </cell>
          <cell r="G18">
            <v>0</v>
          </cell>
          <cell r="H18">
            <v>0.24731182795698925</v>
          </cell>
        </row>
        <row r="19">
          <cell r="A19" t="str">
            <v>INSTALACIONES ACUEDUCTO</v>
          </cell>
          <cell r="B19">
            <v>13</v>
          </cell>
          <cell r="C19">
            <v>39</v>
          </cell>
          <cell r="F19">
            <v>0</v>
          </cell>
          <cell r="G19">
            <v>0</v>
          </cell>
          <cell r="H19">
            <v>0.75</v>
          </cell>
        </row>
        <row r="20">
          <cell r="A20" t="str">
            <v>INSTALACIONES ALCANTARILLADO</v>
          </cell>
          <cell r="B20">
            <v>3</v>
          </cell>
          <cell r="C20">
            <v>3</v>
          </cell>
          <cell r="F20">
            <v>0</v>
          </cell>
          <cell r="G20">
            <v>0</v>
          </cell>
          <cell r="H20">
            <v>0.5</v>
          </cell>
        </row>
        <row r="21">
          <cell r="A21" t="str">
            <v>MEDIDORES 1/2 Y 1"</v>
          </cell>
          <cell r="B21">
            <v>7</v>
          </cell>
          <cell r="C21">
            <v>18</v>
          </cell>
          <cell r="F21">
            <v>0</v>
          </cell>
          <cell r="G21">
            <v>0</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v>0</v>
          </cell>
          <cell r="G23">
            <v>0</v>
          </cell>
          <cell r="H23">
            <v>0.875</v>
          </cell>
        </row>
        <row r="24">
          <cell r="A24" t="str">
            <v>OBRAS ACCESORIAS INSTALACIONES</v>
          </cell>
          <cell r="B24">
            <v>544</v>
          </cell>
          <cell r="C24">
            <v>1</v>
          </cell>
          <cell r="F24">
            <v>0</v>
          </cell>
          <cell r="G24">
            <v>0</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v>0</v>
          </cell>
          <cell r="G26">
            <v>0</v>
          </cell>
          <cell r="H26">
            <v>7.1428571428571425E-2</v>
          </cell>
        </row>
        <row r="27">
          <cell r="A27" t="str">
            <v>REFERENCIACIÓN ACUEDUCTO</v>
          </cell>
          <cell r="B27">
            <v>1</v>
          </cell>
          <cell r="C27">
            <v>0</v>
          </cell>
          <cell r="F27">
            <v>0</v>
          </cell>
          <cell r="G27">
            <v>0</v>
          </cell>
          <cell r="H27">
            <v>0</v>
          </cell>
        </row>
        <row r="28">
          <cell r="A28" t="str">
            <v>REPARACION CAJAS DE MEDIDORES</v>
          </cell>
          <cell r="B28">
            <v>1</v>
          </cell>
          <cell r="C28">
            <v>6</v>
          </cell>
          <cell r="F28">
            <v>0</v>
          </cell>
          <cell r="G28">
            <v>0</v>
          </cell>
          <cell r="H28">
            <v>0.8571428571428571</v>
          </cell>
        </row>
        <row r="29">
          <cell r="A29" t="str">
            <v>RETIRO MEDIDOR</v>
          </cell>
          <cell r="B29">
            <v>121</v>
          </cell>
          <cell r="C29">
            <v>52</v>
          </cell>
          <cell r="F29">
            <v>0</v>
          </cell>
          <cell r="G29">
            <v>0</v>
          </cell>
          <cell r="H29">
            <v>0.30057803468208094</v>
          </cell>
        </row>
        <row r="30">
          <cell r="A30" t="str">
            <v>TAPONADAS</v>
          </cell>
          <cell r="B30">
            <v>2</v>
          </cell>
          <cell r="C30">
            <v>20</v>
          </cell>
          <cell r="F30">
            <v>0</v>
          </cell>
          <cell r="G30">
            <v>0</v>
          </cell>
          <cell r="H30">
            <v>0.90909090909090906</v>
          </cell>
        </row>
        <row r="31">
          <cell r="A31" t="str">
            <v>TRASLADO MEDIDOR</v>
          </cell>
          <cell r="B31">
            <v>1</v>
          </cell>
          <cell r="C31">
            <v>0</v>
          </cell>
          <cell r="F31">
            <v>0</v>
          </cell>
          <cell r="G31">
            <v>0</v>
          </cell>
          <cell r="H31">
            <v>0</v>
          </cell>
        </row>
        <row r="32">
          <cell r="F32">
            <v>0</v>
          </cell>
          <cell r="G32">
            <v>0</v>
          </cell>
          <cell r="H32">
            <v>0</v>
          </cell>
        </row>
        <row r="33">
          <cell r="A33" t="str">
            <v>Total general</v>
          </cell>
          <cell r="B33">
            <v>2620</v>
          </cell>
          <cell r="C33">
            <v>1527</v>
          </cell>
          <cell r="F33">
            <v>0</v>
          </cell>
          <cell r="G33">
            <v>0</v>
          </cell>
          <cell r="H33">
            <v>0.36821798890764407</v>
          </cell>
        </row>
        <row r="34">
          <cell r="F34">
            <v>0</v>
          </cell>
          <cell r="G34">
            <v>0</v>
          </cell>
          <cell r="H34">
            <v>0</v>
          </cell>
        </row>
      </sheetData>
      <sheetData sheetId="2" refreshError="1">
        <row r="12">
          <cell r="A12" t="str">
            <v>CAMBIO ACOMETIDAS CONTRATO</v>
          </cell>
          <cell r="B12">
            <v>2</v>
          </cell>
          <cell r="C12">
            <v>5</v>
          </cell>
          <cell r="D12">
            <v>1</v>
          </cell>
          <cell r="E12">
            <v>46</v>
          </cell>
          <cell r="F12">
            <v>0</v>
          </cell>
          <cell r="G12">
            <v>0</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D15">
            <v>7.442622950819672</v>
          </cell>
          <cell r="E15">
            <v>61</v>
          </cell>
          <cell r="F15">
            <v>0</v>
          </cell>
          <cell r="G15">
            <v>0</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v>0</v>
          </cell>
          <cell r="G19">
            <v>0</v>
          </cell>
          <cell r="H19">
            <v>0.35</v>
          </cell>
        </row>
        <row r="20">
          <cell r="A20" t="str">
            <v>INSTALACIONES ACUEDUCTO</v>
          </cell>
          <cell r="B20">
            <v>48</v>
          </cell>
          <cell r="C20">
            <v>104</v>
          </cell>
          <cell r="F20">
            <v>0</v>
          </cell>
          <cell r="G20">
            <v>0</v>
          </cell>
          <cell r="H20">
            <v>0.68421052631578949</v>
          </cell>
        </row>
        <row r="21">
          <cell r="A21" t="str">
            <v>INSTALACIONES ALCANTARILLADO</v>
          </cell>
          <cell r="B21">
            <v>8</v>
          </cell>
          <cell r="C21">
            <v>0</v>
          </cell>
          <cell r="F21">
            <v>0</v>
          </cell>
          <cell r="G21">
            <v>0</v>
          </cell>
          <cell r="H21">
            <v>0</v>
          </cell>
        </row>
        <row r="22">
          <cell r="A22" t="str">
            <v>MEDIDORES 1/2 Y 1"</v>
          </cell>
          <cell r="B22">
            <v>3</v>
          </cell>
          <cell r="C22">
            <v>4</v>
          </cell>
          <cell r="D22">
            <v>1</v>
          </cell>
          <cell r="E22">
            <v>62</v>
          </cell>
          <cell r="F22">
            <v>0</v>
          </cell>
          <cell r="G22">
            <v>0</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v>0</v>
          </cell>
          <cell r="G24">
            <v>0</v>
          </cell>
          <cell r="H24">
            <v>0.85185185185185186</v>
          </cell>
        </row>
        <row r="25">
          <cell r="A25" t="str">
            <v>OBRAS ACCESORIAS INSTALACIONES</v>
          </cell>
          <cell r="B25">
            <v>1107</v>
          </cell>
          <cell r="C25">
            <v>0</v>
          </cell>
          <cell r="D25">
            <v>1</v>
          </cell>
          <cell r="E25">
            <v>20</v>
          </cell>
          <cell r="F25">
            <v>0</v>
          </cell>
          <cell r="G25">
            <v>0</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v>0</v>
          </cell>
          <cell r="G27">
            <v>0</v>
          </cell>
          <cell r="H27">
            <v>1.5873015873015872E-2</v>
          </cell>
        </row>
        <row r="28">
          <cell r="A28" t="str">
            <v>REFERENCIACIÓN ACUEDUCTO</v>
          </cell>
          <cell r="B28">
            <v>1</v>
          </cell>
          <cell r="C28">
            <v>3</v>
          </cell>
          <cell r="F28">
            <v>0</v>
          </cell>
          <cell r="G28">
            <v>0</v>
          </cell>
          <cell r="H28">
            <v>0.75</v>
          </cell>
        </row>
        <row r="29">
          <cell r="A29" t="str">
            <v>TRASLADO MEDIDOR</v>
          </cell>
          <cell r="B29">
            <v>1</v>
          </cell>
          <cell r="C29">
            <v>0</v>
          </cell>
          <cell r="F29">
            <v>0</v>
          </cell>
          <cell r="G29">
            <v>0</v>
          </cell>
          <cell r="H29">
            <v>0</v>
          </cell>
        </row>
        <row r="30">
          <cell r="A30" t="str">
            <v>TAPONADAS</v>
          </cell>
          <cell r="B30">
            <v>2</v>
          </cell>
          <cell r="C30">
            <v>20</v>
          </cell>
          <cell r="F30">
            <v>0</v>
          </cell>
          <cell r="G30">
            <v>0</v>
          </cell>
          <cell r="H30">
            <v>0</v>
          </cell>
        </row>
        <row r="31">
          <cell r="A31" t="str">
            <v>Total general</v>
          </cell>
          <cell r="B31">
            <v>3020</v>
          </cell>
          <cell r="C31">
            <v>1257</v>
          </cell>
          <cell r="F31">
            <v>0</v>
          </cell>
          <cell r="G31">
            <v>0</v>
          </cell>
          <cell r="H31">
            <v>0.29389759176993219</v>
          </cell>
        </row>
        <row r="32">
          <cell r="F32">
            <v>0</v>
          </cell>
          <cell r="G32">
            <v>0</v>
          </cell>
          <cell r="H32">
            <v>0</v>
          </cell>
        </row>
      </sheetData>
      <sheetData sheetId="3" refreshError="1">
        <row r="12">
          <cell r="A12" t="str">
            <v>CAMBIO ACOMETIDAS CONTRATO</v>
          </cell>
          <cell r="B12">
            <v>6</v>
          </cell>
          <cell r="C12">
            <v>4</v>
          </cell>
          <cell r="D12">
            <v>1</v>
          </cell>
          <cell r="E12">
            <v>46</v>
          </cell>
          <cell r="F12">
            <v>0</v>
          </cell>
          <cell r="G12">
            <v>0</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v>0</v>
          </cell>
          <cell r="G15">
            <v>0</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v>0</v>
          </cell>
          <cell r="G19">
            <v>0</v>
          </cell>
          <cell r="H19">
            <v>0.27777777777777779</v>
          </cell>
        </row>
        <row r="20">
          <cell r="A20" t="str">
            <v>INSTALACIONES ACUEDUCTO</v>
          </cell>
          <cell r="B20">
            <v>27</v>
          </cell>
          <cell r="C20">
            <v>42</v>
          </cell>
          <cell r="F20">
            <v>0</v>
          </cell>
          <cell r="G20">
            <v>0</v>
          </cell>
          <cell r="H20">
            <v>0.60869565217391308</v>
          </cell>
        </row>
        <row r="21">
          <cell r="A21" t="str">
            <v>MEDIDORES 1/2 Y 1"</v>
          </cell>
          <cell r="B21">
            <v>8</v>
          </cell>
          <cell r="C21">
            <v>1</v>
          </cell>
          <cell r="F21">
            <v>0</v>
          </cell>
          <cell r="G21">
            <v>0</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D23">
            <v>1</v>
          </cell>
          <cell r="E23">
            <v>61</v>
          </cell>
          <cell r="F23">
            <v>0</v>
          </cell>
          <cell r="G23">
            <v>0</v>
          </cell>
          <cell r="H23">
            <v>0.64</v>
          </cell>
        </row>
        <row r="24">
          <cell r="A24" t="str">
            <v>OBRAS ACCESORIAS INSTALACIONES</v>
          </cell>
          <cell r="B24">
            <v>1223</v>
          </cell>
          <cell r="C24">
            <v>0</v>
          </cell>
          <cell r="F24">
            <v>0</v>
          </cell>
          <cell r="G24">
            <v>0</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D26">
            <v>1</v>
          </cell>
          <cell r="E26">
            <v>20</v>
          </cell>
          <cell r="F26">
            <v>0</v>
          </cell>
          <cell r="G26">
            <v>0</v>
          </cell>
          <cell r="H26">
            <v>0.19540229885057472</v>
          </cell>
        </row>
        <row r="27">
          <cell r="A27" t="str">
            <v>REFERENCIACIÓN ACUEDUCTO</v>
          </cell>
          <cell r="B27">
            <v>1</v>
          </cell>
          <cell r="C27">
            <v>0</v>
          </cell>
          <cell r="F27">
            <v>0</v>
          </cell>
          <cell r="G27">
            <v>0</v>
          </cell>
          <cell r="H27">
            <v>0</v>
          </cell>
        </row>
        <row r="28">
          <cell r="A28" t="str">
            <v>Total general</v>
          </cell>
          <cell r="B28">
            <v>3006</v>
          </cell>
          <cell r="C28">
            <v>1085</v>
          </cell>
          <cell r="F28">
            <v>0</v>
          </cell>
          <cell r="G28">
            <v>0</v>
          </cell>
          <cell r="H28">
            <v>0.26521632852603277</v>
          </cell>
        </row>
        <row r="29">
          <cell r="A29" t="str">
            <v>RETIRO MEDIDOR</v>
          </cell>
          <cell r="B29">
            <v>121</v>
          </cell>
          <cell r="C29">
            <v>52</v>
          </cell>
          <cell r="F29">
            <v>0</v>
          </cell>
          <cell r="G29">
            <v>0</v>
          </cell>
          <cell r="H29">
            <v>0</v>
          </cell>
        </row>
      </sheetData>
      <sheetData sheetId="4" refreshError="1">
        <row r="12">
          <cell r="A12" t="str">
            <v>CAMBIO ACOMETIDAS CONTRATO</v>
          </cell>
          <cell r="B12">
            <v>3</v>
          </cell>
          <cell r="C12">
            <v>2</v>
          </cell>
          <cell r="F12">
            <v>0</v>
          </cell>
          <cell r="G12">
            <v>0</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v>0</v>
          </cell>
          <cell r="G15">
            <v>0</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v>0</v>
          </cell>
          <cell r="G19">
            <v>0</v>
          </cell>
          <cell r="H19">
            <v>0.26666666666666666</v>
          </cell>
        </row>
        <row r="20">
          <cell r="A20" t="str">
            <v>INSTALACIONES ACUEDUCTO</v>
          </cell>
          <cell r="B20">
            <v>6</v>
          </cell>
          <cell r="C20">
            <v>73</v>
          </cell>
          <cell r="F20">
            <v>0</v>
          </cell>
          <cell r="G20">
            <v>0</v>
          </cell>
          <cell r="H20">
            <v>0.92405063291139244</v>
          </cell>
        </row>
        <row r="21">
          <cell r="A21" t="str">
            <v>MEDIDORES 1/2 Y 1"</v>
          </cell>
          <cell r="B21">
            <v>2</v>
          </cell>
          <cell r="C21">
            <v>3</v>
          </cell>
          <cell r="F21">
            <v>0</v>
          </cell>
          <cell r="G21">
            <v>0</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v>0</v>
          </cell>
          <cell r="G23">
            <v>0</v>
          </cell>
          <cell r="H23">
            <v>2.3255813953488372E-2</v>
          </cell>
        </row>
        <row r="24">
          <cell r="A24" t="str">
            <v>OBRAS ACCESORIAS INSTALACIONES</v>
          </cell>
          <cell r="B24">
            <v>927</v>
          </cell>
          <cell r="C24">
            <v>0</v>
          </cell>
          <cell r="F24">
            <v>0</v>
          </cell>
          <cell r="G24">
            <v>0</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v>0</v>
          </cell>
          <cell r="G26">
            <v>0</v>
          </cell>
          <cell r="H26">
            <v>0.16853932584269662</v>
          </cell>
        </row>
        <row r="27">
          <cell r="A27" t="str">
            <v>REFERENCIACIÓN ACUEDUCTO</v>
          </cell>
          <cell r="B27">
            <v>0</v>
          </cell>
          <cell r="C27">
            <v>3</v>
          </cell>
          <cell r="F27">
            <v>0</v>
          </cell>
          <cell r="G27">
            <v>0</v>
          </cell>
          <cell r="H27">
            <v>1</v>
          </cell>
        </row>
        <row r="28">
          <cell r="A28" t="str">
            <v>#N/A</v>
          </cell>
          <cell r="B28">
            <v>3</v>
          </cell>
          <cell r="C28">
            <v>1</v>
          </cell>
          <cell r="F28">
            <v>0</v>
          </cell>
          <cell r="G28">
            <v>0</v>
          </cell>
          <cell r="H28">
            <v>0</v>
          </cell>
        </row>
        <row r="29">
          <cell r="A29" t="str">
            <v>Total general</v>
          </cell>
          <cell r="B29">
            <v>2679</v>
          </cell>
          <cell r="C29">
            <v>1006</v>
          </cell>
          <cell r="F29">
            <v>0</v>
          </cell>
          <cell r="G29">
            <v>0</v>
          </cell>
          <cell r="H29">
            <v>0.2729986431478969</v>
          </cell>
        </row>
        <row r="30">
          <cell r="F30">
            <v>0</v>
          </cell>
          <cell r="G30">
            <v>0</v>
          </cell>
          <cell r="H30">
            <v>0</v>
          </cell>
        </row>
      </sheetData>
      <sheetData sheetId="5" refreshError="1">
        <row r="12">
          <cell r="A12" t="str">
            <v>CAMBIO ACOMETIDAS CONTRATO</v>
          </cell>
          <cell r="B12">
            <v>8</v>
          </cell>
          <cell r="C12">
            <v>8</v>
          </cell>
          <cell r="F12">
            <v>0</v>
          </cell>
          <cell r="G12">
            <v>0</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v>0</v>
          </cell>
          <cell r="G15">
            <v>0</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v>0</v>
          </cell>
          <cell r="G19">
            <v>0</v>
          </cell>
          <cell r="H19">
            <v>0.17948717948717949</v>
          </cell>
        </row>
        <row r="20">
          <cell r="A20" t="str">
            <v>INSTALACIONES ACUEDUCTO</v>
          </cell>
          <cell r="B20">
            <v>4</v>
          </cell>
          <cell r="C20">
            <v>91</v>
          </cell>
          <cell r="F20">
            <v>0</v>
          </cell>
          <cell r="G20">
            <v>0</v>
          </cell>
          <cell r="H20">
            <v>0.95789473684210524</v>
          </cell>
        </row>
        <row r="21">
          <cell r="A21" t="str">
            <v>MEDIDORES 1/2 Y 1"</v>
          </cell>
          <cell r="B21">
            <v>2</v>
          </cell>
          <cell r="C21">
            <v>3</v>
          </cell>
          <cell r="F21">
            <v>0</v>
          </cell>
          <cell r="G21">
            <v>0</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v>0</v>
          </cell>
          <cell r="G23">
            <v>0</v>
          </cell>
          <cell r="H23">
            <v>0.70967741935483875</v>
          </cell>
        </row>
        <row r="24">
          <cell r="A24" t="str">
            <v>OBRAS ACCESORIAS INSTALACIONES</v>
          </cell>
          <cell r="B24">
            <v>1132</v>
          </cell>
          <cell r="C24">
            <v>0</v>
          </cell>
          <cell r="F24">
            <v>0</v>
          </cell>
          <cell r="G24">
            <v>0</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v>0</v>
          </cell>
          <cell r="G26">
            <v>0</v>
          </cell>
          <cell r="H26">
            <v>0.1206896551724138</v>
          </cell>
        </row>
        <row r="27">
          <cell r="A27" t="str">
            <v>SECTOR SIN AGUA</v>
          </cell>
          <cell r="B27">
            <v>0</v>
          </cell>
          <cell r="C27">
            <v>1</v>
          </cell>
          <cell r="F27">
            <v>0</v>
          </cell>
          <cell r="G27">
            <v>0</v>
          </cell>
          <cell r="H27">
            <v>1</v>
          </cell>
        </row>
        <row r="28">
          <cell r="A28" t="str">
            <v>#N/A</v>
          </cell>
          <cell r="B28">
            <v>3</v>
          </cell>
          <cell r="C28">
            <v>1</v>
          </cell>
          <cell r="F28">
            <v>0</v>
          </cell>
          <cell r="G28">
            <v>0</v>
          </cell>
          <cell r="H28">
            <v>0.25</v>
          </cell>
        </row>
        <row r="29">
          <cell r="A29" t="str">
            <v>Total general</v>
          </cell>
          <cell r="B29">
            <v>2679</v>
          </cell>
          <cell r="C29">
            <v>1006</v>
          </cell>
          <cell r="F29">
            <v>0</v>
          </cell>
          <cell r="G29">
            <v>0</v>
          </cell>
          <cell r="H29">
            <v>0</v>
          </cell>
        </row>
        <row r="30">
          <cell r="F30">
            <v>0</v>
          </cell>
          <cell r="G30">
            <v>0</v>
          </cell>
          <cell r="H30">
            <v>0</v>
          </cell>
        </row>
        <row r="31">
          <cell r="F31">
            <v>0</v>
          </cell>
          <cell r="G31">
            <v>0</v>
          </cell>
          <cell r="H31">
            <v>0</v>
          </cell>
        </row>
        <row r="32">
          <cell r="F32">
            <v>0</v>
          </cell>
          <cell r="G32">
            <v>0</v>
          </cell>
          <cell r="H32">
            <v>0</v>
          </cell>
        </row>
        <row r="33">
          <cell r="A33" t="str">
            <v>Total general</v>
          </cell>
          <cell r="B33">
            <v>3125</v>
          </cell>
          <cell r="C33">
            <v>1542</v>
          </cell>
          <cell r="F33">
            <v>0</v>
          </cell>
          <cell r="G33">
            <v>0</v>
          </cell>
          <cell r="H33">
            <v>0.33040497107349476</v>
          </cell>
        </row>
        <row r="34">
          <cell r="F34">
            <v>0</v>
          </cell>
          <cell r="G34">
            <v>0</v>
          </cell>
          <cell r="H34">
            <v>0</v>
          </cell>
        </row>
      </sheetData>
      <sheetData sheetId="6"/>
      <sheetData sheetId="7"/>
      <sheetData sheetId="8" refreshError="1"/>
      <sheetData sheetId="9" refreshError="1"/>
      <sheetData sheetId="10" refreshError="1"/>
      <sheetData sheetId="11"/>
      <sheetData sheetId="12"/>
      <sheetData sheetId="13"/>
      <sheetData sheetId="14"/>
      <sheetData sheetId="15"/>
      <sheetData sheetId="16"/>
      <sheetData sheetId="17" refreshError="1"/>
      <sheetData sheetId="18" refreshError="1"/>
      <sheetData sheetId="19"/>
      <sheetData sheetId="20">
        <row r="12">
          <cell r="A12">
            <v>0</v>
          </cell>
        </row>
      </sheetData>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nsidades"/>
      <sheetName val="Hoja2"/>
      <sheetName val="PARAMETROS"/>
      <sheetName val="INTENSIDAD"/>
      <sheetName val="TABLA"/>
      <sheetName val="Base de Diseño"/>
      <sheetName val="DISEÑO"/>
      <sheetName val="CIMENTACIÓN"/>
      <sheetName val="PTO TOTAL"/>
      <sheetName val="BASE"/>
      <sheetName val="LISTA CÓDIGOS"/>
      <sheetName val="BASE APU"/>
      <sheetName val="MANO DE OBRA"/>
      <sheetName val="INSUMOS"/>
      <sheetName val="EQUIPOS"/>
      <sheetName val="MATERIALES"/>
      <sheetName val="ESTRUCTURAS"/>
      <sheetName val="TRANSPORTE"/>
    </sheetNames>
    <sheetDataSet>
      <sheetData sheetId="0" refreshError="1"/>
      <sheetData sheetId="1" refreshError="1">
        <row r="5">
          <cell r="A5">
            <v>6</v>
          </cell>
          <cell r="B5">
            <v>0.12898999999999999</v>
          </cell>
          <cell r="C5">
            <v>6.4500000000000002E-2</v>
          </cell>
          <cell r="D5">
            <v>0.105</v>
          </cell>
          <cell r="E5">
            <v>7.6880000000000004E-2</v>
          </cell>
          <cell r="F5">
            <v>0.129</v>
          </cell>
          <cell r="G5">
            <v>6.4500000000000002E-2</v>
          </cell>
          <cell r="H5">
            <v>0.12525</v>
          </cell>
          <cell r="I5">
            <v>9.0310000000000001E-2</v>
          </cell>
        </row>
        <row r="6">
          <cell r="A6">
            <v>8</v>
          </cell>
          <cell r="B6">
            <v>0.15437000000000001</v>
          </cell>
          <cell r="C6">
            <v>7.7189999999999995E-2</v>
          </cell>
          <cell r="D6">
            <v>0.11289</v>
          </cell>
          <cell r="E6">
            <v>8.1049999999999997E-2</v>
          </cell>
          <cell r="F6">
            <v>0.15440000000000001</v>
          </cell>
          <cell r="G6">
            <v>7.7200000000000005E-2</v>
          </cell>
          <cell r="H6">
            <v>0.13669999999999999</v>
          </cell>
          <cell r="I6">
            <v>9.5649999999999999E-2</v>
          </cell>
        </row>
        <row r="7">
          <cell r="A7">
            <v>10</v>
          </cell>
          <cell r="B7">
            <v>0.17957000000000001</v>
          </cell>
          <cell r="C7">
            <v>8.9779999999999999E-2</v>
          </cell>
          <cell r="D7">
            <v>0.14198</v>
          </cell>
          <cell r="E7">
            <v>9.8650000000000002E-2</v>
          </cell>
          <cell r="F7">
            <v>0.17960000000000001</v>
          </cell>
          <cell r="G7">
            <v>8.9800000000000005E-2</v>
          </cell>
          <cell r="H7">
            <v>0.1681</v>
          </cell>
          <cell r="I7">
            <v>0.11403000000000001</v>
          </cell>
        </row>
        <row r="8">
          <cell r="A8">
            <v>12</v>
          </cell>
          <cell r="B8">
            <v>0.20477999999999999</v>
          </cell>
          <cell r="C8">
            <v>0.10238999999999999</v>
          </cell>
          <cell r="D8">
            <v>0.14693999999999999</v>
          </cell>
          <cell r="E8">
            <v>0.10261000000000001</v>
          </cell>
          <cell r="F8">
            <v>0.20480000000000001</v>
          </cell>
          <cell r="G8">
            <v>0.1024</v>
          </cell>
          <cell r="H8">
            <v>0.17665</v>
          </cell>
          <cell r="I8">
            <v>0.11942999999999999</v>
          </cell>
        </row>
        <row r="9">
          <cell r="A9">
            <v>14</v>
          </cell>
          <cell r="B9">
            <v>0.23346</v>
          </cell>
          <cell r="C9">
            <v>0.11673</v>
          </cell>
          <cell r="D9">
            <v>0.17873</v>
          </cell>
          <cell r="E9">
            <v>0.12082</v>
          </cell>
          <cell r="F9">
            <v>0.23350000000000001</v>
          </cell>
          <cell r="G9">
            <v>0.11675000000000001</v>
          </cell>
          <cell r="H9">
            <v>0.20974999999999999</v>
          </cell>
          <cell r="I9">
            <v>0.1368</v>
          </cell>
        </row>
        <row r="10">
          <cell r="A10">
            <v>15</v>
          </cell>
          <cell r="B10">
            <v>0.25864999999999999</v>
          </cell>
          <cell r="C10">
            <v>0.12933</v>
          </cell>
          <cell r="D10">
            <v>0.18182999999999999</v>
          </cell>
          <cell r="E10">
            <v>0.12515999999999999</v>
          </cell>
          <cell r="F10">
            <v>0.25869999999999999</v>
          </cell>
          <cell r="G10">
            <v>0.12934999999999999</v>
          </cell>
          <cell r="H10">
            <v>0.21684999999999999</v>
          </cell>
          <cell r="I10">
            <v>0.14349999999999999</v>
          </cell>
        </row>
        <row r="11">
          <cell r="A11">
            <v>16</v>
          </cell>
          <cell r="B11">
            <v>0.44319999999999998</v>
          </cell>
          <cell r="C11">
            <v>0.22159999999999999</v>
          </cell>
          <cell r="D11">
            <v>0.18160000000000001</v>
          </cell>
          <cell r="E11">
            <v>0.12670999999999999</v>
          </cell>
          <cell r="F11">
            <v>0.44319999999999998</v>
          </cell>
          <cell r="G11">
            <v>0.22159999999999999</v>
          </cell>
          <cell r="H11">
            <v>0.21834999999999999</v>
          </cell>
          <cell r="I11">
            <v>0.14565</v>
          </cell>
        </row>
        <row r="12">
          <cell r="A12">
            <v>18</v>
          </cell>
          <cell r="B12">
            <v>0.48670000000000002</v>
          </cell>
          <cell r="C12">
            <v>0.24335000000000001</v>
          </cell>
          <cell r="D12">
            <v>0.21890999999999999</v>
          </cell>
          <cell r="E12">
            <v>0.14779999999999999</v>
          </cell>
          <cell r="F12">
            <v>0.48668</v>
          </cell>
          <cell r="G12">
            <v>0.24334</v>
          </cell>
          <cell r="H12">
            <v>0.25764999999999999</v>
          </cell>
          <cell r="I12">
            <v>0.16739000000000001</v>
          </cell>
        </row>
        <row r="13">
          <cell r="A13">
            <v>20</v>
          </cell>
          <cell r="B13">
            <v>0.52042999999999995</v>
          </cell>
          <cell r="C13">
            <v>0.26022000000000001</v>
          </cell>
          <cell r="D13">
            <v>0.25872000000000001</v>
          </cell>
          <cell r="E13">
            <v>0.17304</v>
          </cell>
          <cell r="F13">
            <v>0.52039999999999997</v>
          </cell>
          <cell r="G13">
            <v>0.26019999999999999</v>
          </cell>
          <cell r="H13">
            <v>0.30220000000000002</v>
          </cell>
          <cell r="I13">
            <v>0.19423000000000001</v>
          </cell>
        </row>
        <row r="14">
          <cell r="A14">
            <v>21</v>
          </cell>
          <cell r="B14">
            <v>0.56893000000000005</v>
          </cell>
          <cell r="C14">
            <v>0.28447</v>
          </cell>
          <cell r="D14">
            <v>0.25872000000000001</v>
          </cell>
          <cell r="E14">
            <v>0.17304</v>
          </cell>
          <cell r="F14">
            <v>0.56889999999999996</v>
          </cell>
          <cell r="G14">
            <v>0.28444999999999998</v>
          </cell>
          <cell r="H14">
            <v>0.30220000000000002</v>
          </cell>
          <cell r="I14">
            <v>0.19423000000000001</v>
          </cell>
        </row>
        <row r="15">
          <cell r="A15">
            <v>24</v>
          </cell>
          <cell r="B15">
            <v>0.60634999999999994</v>
          </cell>
          <cell r="C15">
            <v>3.0318000000000001E-2</v>
          </cell>
          <cell r="D15">
            <v>0.30118</v>
          </cell>
          <cell r="E15">
            <v>0.19964000000000001</v>
          </cell>
          <cell r="F15">
            <v>0.60640000000000005</v>
          </cell>
          <cell r="G15">
            <v>0.30320000000000003</v>
          </cell>
          <cell r="H15">
            <v>0.34920000000000001</v>
          </cell>
          <cell r="I15">
            <v>0.22239999999999999</v>
          </cell>
        </row>
        <row r="16">
          <cell r="A16">
            <v>27</v>
          </cell>
          <cell r="B16">
            <v>0.75595999999999997</v>
          </cell>
          <cell r="C16">
            <v>0.37797999999999998</v>
          </cell>
          <cell r="D16">
            <v>0.35335</v>
          </cell>
          <cell r="E16">
            <v>0.23430999999999999</v>
          </cell>
          <cell r="F16">
            <v>0.75595000000000001</v>
          </cell>
          <cell r="G16">
            <v>0.37797999999999998</v>
          </cell>
          <cell r="H16">
            <v>0.40616000000000002</v>
          </cell>
          <cell r="I16">
            <v>0.25900000000000001</v>
          </cell>
        </row>
        <row r="17">
          <cell r="A17">
            <v>28</v>
          </cell>
          <cell r="B17">
            <v>0.81320999999999999</v>
          </cell>
          <cell r="C17">
            <v>0.40660000000000002</v>
          </cell>
          <cell r="D17">
            <v>0.35335</v>
          </cell>
          <cell r="E17">
            <v>0.23430999999999999</v>
          </cell>
          <cell r="F17">
            <v>0.81320000000000003</v>
          </cell>
          <cell r="G17">
            <v>0.40660000000000002</v>
          </cell>
          <cell r="H17">
            <v>0.40616000000000002</v>
          </cell>
          <cell r="I17">
            <v>0.25900000000000001</v>
          </cell>
        </row>
        <row r="18">
          <cell r="A18">
            <v>30</v>
          </cell>
          <cell r="B18">
            <v>0.91712000000000005</v>
          </cell>
          <cell r="C18">
            <v>0.45856000000000002</v>
          </cell>
          <cell r="D18">
            <v>0.41711999999999999</v>
          </cell>
          <cell r="E18">
            <v>0.28148000000000001</v>
          </cell>
          <cell r="F18">
            <v>0.91710000000000003</v>
          </cell>
          <cell r="G18">
            <v>0.45855000000000001</v>
          </cell>
          <cell r="H18">
            <v>0.47617999999999999</v>
          </cell>
          <cell r="I18">
            <v>0.30908000000000002</v>
          </cell>
        </row>
        <row r="19">
          <cell r="A19">
            <v>32</v>
          </cell>
          <cell r="B19">
            <v>0.96279999999999999</v>
          </cell>
          <cell r="C19">
            <v>0.48139999999999999</v>
          </cell>
          <cell r="D19">
            <v>0.48449999999999999</v>
          </cell>
          <cell r="E19">
            <v>0.32884000000000002</v>
          </cell>
          <cell r="F19">
            <v>0.96279999999999999</v>
          </cell>
          <cell r="G19">
            <v>0.48139999999999999</v>
          </cell>
          <cell r="H19">
            <v>0.54874999999999996</v>
          </cell>
          <cell r="I19">
            <v>0.35885</v>
          </cell>
        </row>
        <row r="20">
          <cell r="A20">
            <v>33</v>
          </cell>
          <cell r="B20">
            <v>1.0291999999999999</v>
          </cell>
          <cell r="C20">
            <v>0.51459999999999995</v>
          </cell>
          <cell r="D20">
            <v>0.48449999999999999</v>
          </cell>
          <cell r="E20">
            <v>0.32884000000000002</v>
          </cell>
          <cell r="F20">
            <v>1.0291999999999999</v>
          </cell>
          <cell r="G20">
            <v>0.51459999999999995</v>
          </cell>
          <cell r="H20">
            <v>0.54874999999999996</v>
          </cell>
          <cell r="I20">
            <v>0.35875000000000001</v>
          </cell>
        </row>
        <row r="21">
          <cell r="A21">
            <v>36</v>
          </cell>
          <cell r="B21">
            <v>1.1505700000000001</v>
          </cell>
          <cell r="C21">
            <v>0.57528000000000001</v>
          </cell>
          <cell r="D21">
            <v>0.55578000000000005</v>
          </cell>
          <cell r="E21">
            <v>0.37614999999999998</v>
          </cell>
          <cell r="F21">
            <v>1.1506000000000001</v>
          </cell>
          <cell r="G21">
            <v>0.57530000000000003</v>
          </cell>
          <cell r="H21">
            <v>0.62429999999999997</v>
          </cell>
          <cell r="I21">
            <v>0.40847</v>
          </cell>
        </row>
        <row r="22">
          <cell r="A22">
            <v>40</v>
          </cell>
          <cell r="B22">
            <v>1.2607600000000001</v>
          </cell>
          <cell r="C22">
            <v>0.63038000000000005</v>
          </cell>
          <cell r="D22">
            <v>0.78915999999999997</v>
          </cell>
          <cell r="E22">
            <v>0.51463999999999999</v>
          </cell>
          <cell r="F22">
            <v>1.2607999999999999</v>
          </cell>
          <cell r="G22">
            <v>0.63039999999999996</v>
          </cell>
          <cell r="H22">
            <v>0.86585999999999996</v>
          </cell>
          <cell r="I22">
            <v>0.55096000000000001</v>
          </cell>
        </row>
        <row r="23">
          <cell r="A23">
            <v>44</v>
          </cell>
          <cell r="B23">
            <v>1.5273300000000001</v>
          </cell>
          <cell r="C23">
            <v>0.76366000000000001</v>
          </cell>
          <cell r="D23">
            <v>1.0785</v>
          </cell>
          <cell r="E23">
            <v>0.70940000000000003</v>
          </cell>
          <cell r="F23">
            <v>1.52732</v>
          </cell>
          <cell r="G23">
            <v>0.76366000000000001</v>
          </cell>
          <cell r="H23">
            <v>1.1695</v>
          </cell>
          <cell r="I23">
            <v>0.75422699999999998</v>
          </cell>
        </row>
        <row r="24">
          <cell r="A24">
            <v>48</v>
          </cell>
          <cell r="B24">
            <v>1.6876199999999999</v>
          </cell>
          <cell r="C24">
            <v>0.84380999999999995</v>
          </cell>
          <cell r="D24">
            <v>1.1910700000000001</v>
          </cell>
          <cell r="E24">
            <v>0.79608000000000001</v>
          </cell>
          <cell r="F24">
            <v>1.6875800000000001</v>
          </cell>
          <cell r="G24">
            <v>0.84379000000000004</v>
          </cell>
          <cell r="H24">
            <v>1.2892999999999999</v>
          </cell>
          <cell r="I24">
            <v>0.84155000000000002</v>
          </cell>
        </row>
        <row r="25">
          <cell r="A25">
            <v>52</v>
          </cell>
          <cell r="B25">
            <v>1.8546100000000001</v>
          </cell>
          <cell r="C25">
            <v>0.92730999999999997</v>
          </cell>
          <cell r="D25">
            <v>1.41307</v>
          </cell>
          <cell r="E25">
            <v>0.93644000000000005</v>
          </cell>
          <cell r="F25">
            <v>1.8545799999999999</v>
          </cell>
          <cell r="G25">
            <v>0.92728999999999995</v>
          </cell>
          <cell r="H25">
            <v>1.5185500000000001</v>
          </cell>
          <cell r="I25">
            <v>0.98582999999999998</v>
          </cell>
        </row>
        <row r="26">
          <cell r="A26">
            <v>56</v>
          </cell>
          <cell r="B26">
            <v>2.0268000000000002</v>
          </cell>
          <cell r="C26">
            <v>1.0134000000000001</v>
          </cell>
          <cell r="D26">
            <v>1.5410299999999999</v>
          </cell>
          <cell r="E26">
            <v>1.03624</v>
          </cell>
          <cell r="F26">
            <v>2.02678</v>
          </cell>
          <cell r="G26">
            <v>1.01339</v>
          </cell>
          <cell r="H26">
            <v>1.6538999999999999</v>
          </cell>
          <cell r="I26">
            <v>1.0885499999999999</v>
          </cell>
        </row>
        <row r="27">
          <cell r="A27">
            <v>60</v>
          </cell>
          <cell r="B27">
            <v>2.2070699999999999</v>
          </cell>
          <cell r="C27">
            <v>1.10354</v>
          </cell>
          <cell r="D27">
            <v>1.67259</v>
          </cell>
          <cell r="E27">
            <v>1.13967</v>
          </cell>
          <cell r="F27">
            <v>2.2071000000000001</v>
          </cell>
          <cell r="G27">
            <v>1.10355</v>
          </cell>
          <cell r="H27">
            <v>1.7927299999999999</v>
          </cell>
          <cell r="I27">
            <v>1.1955800000000001</v>
          </cell>
        </row>
        <row r="28">
          <cell r="A28">
            <v>64</v>
          </cell>
          <cell r="B28">
            <v>2.39405</v>
          </cell>
          <cell r="C28">
            <v>1.19703</v>
          </cell>
          <cell r="D28">
            <v>1.8080700000000001</v>
          </cell>
          <cell r="E28">
            <v>1.24756</v>
          </cell>
          <cell r="F28">
            <v>2.3940600000000001</v>
          </cell>
          <cell r="G28">
            <v>1.19703</v>
          </cell>
          <cell r="H28">
            <v>1.9354499999999999</v>
          </cell>
          <cell r="I28">
            <v>1.3073699999999999</v>
          </cell>
        </row>
        <row r="29">
          <cell r="A29">
            <v>68</v>
          </cell>
          <cell r="B29">
            <v>2.5933700000000002</v>
          </cell>
          <cell r="C29">
            <v>1.2966800000000001</v>
          </cell>
          <cell r="D29">
            <v>1.94712</v>
          </cell>
          <cell r="E29">
            <v>1.35721</v>
          </cell>
          <cell r="F29">
            <v>2.5933199999999998</v>
          </cell>
          <cell r="G29">
            <v>1.2966599999999999</v>
          </cell>
          <cell r="H29">
            <v>2.08135</v>
          </cell>
          <cell r="I29">
            <v>1.4198500000000001</v>
          </cell>
        </row>
        <row r="30">
          <cell r="A30">
            <v>72</v>
          </cell>
          <cell r="B30">
            <v>2.8020499999999999</v>
          </cell>
          <cell r="C30">
            <v>1.4010199999999999</v>
          </cell>
          <cell r="D30">
            <v>2.2313399999999999</v>
          </cell>
          <cell r="E30">
            <v>1.53609</v>
          </cell>
          <cell r="F30">
            <v>2.80206</v>
          </cell>
          <cell r="G30">
            <v>1.40103</v>
          </cell>
          <cell r="H30">
            <v>2.37235</v>
          </cell>
          <cell r="I30">
            <v>1.6017999999999999</v>
          </cell>
        </row>
        <row r="31">
          <cell r="A31">
            <v>76</v>
          </cell>
          <cell r="B31">
            <v>3.0209999999999999</v>
          </cell>
          <cell r="C31">
            <v>1.5060500000000001</v>
          </cell>
          <cell r="D31">
            <v>2.38612</v>
          </cell>
          <cell r="E31">
            <v>1.6595899999999999</v>
          </cell>
          <cell r="F31">
            <v>3.0121000000000002</v>
          </cell>
          <cell r="G31">
            <v>1.5060500000000001</v>
          </cell>
          <cell r="H31">
            <v>2.5342500000000001</v>
          </cell>
          <cell r="I31">
            <v>1.7290000000000001</v>
          </cell>
        </row>
        <row r="32">
          <cell r="A32">
            <v>80</v>
          </cell>
          <cell r="B32">
            <v>3.4222000000000001</v>
          </cell>
          <cell r="C32">
            <v>1.6211</v>
          </cell>
          <cell r="D32">
            <v>2.5442999999999998</v>
          </cell>
          <cell r="E32">
            <v>1.78142</v>
          </cell>
          <cell r="F32">
            <v>3.2422</v>
          </cell>
          <cell r="G32">
            <v>1.6211</v>
          </cell>
          <cell r="H32">
            <v>2.6987999999999999</v>
          </cell>
          <cell r="I32">
            <v>1.8532999999999999</v>
          </cell>
        </row>
        <row r="33">
          <cell r="A33">
            <v>84</v>
          </cell>
          <cell r="B33">
            <v>3.7565599999999999</v>
          </cell>
          <cell r="C33">
            <v>1.8782799999999999</v>
          </cell>
          <cell r="D33">
            <v>2.7399</v>
          </cell>
          <cell r="E33">
            <v>1.9297599999999999</v>
          </cell>
          <cell r="F33">
            <v>3.7565599999999999</v>
          </cell>
          <cell r="G33">
            <v>1.8782799999999999</v>
          </cell>
          <cell r="H33">
            <v>2.9016500000000001</v>
          </cell>
          <cell r="I33">
            <v>2.0055299999999998</v>
          </cell>
        </row>
        <row r="34">
          <cell r="A34">
            <v>88</v>
          </cell>
          <cell r="B34">
            <v>3.9952100000000002</v>
          </cell>
          <cell r="C34">
            <v>1.9976100000000001</v>
          </cell>
          <cell r="D34">
            <v>2.9423900000000001</v>
          </cell>
          <cell r="E34">
            <v>2.0849899999999999</v>
          </cell>
          <cell r="F34">
            <v>3.9952399999999999</v>
          </cell>
          <cell r="G34">
            <v>1.99762</v>
          </cell>
          <cell r="H34">
            <v>3.1115300000000001</v>
          </cell>
          <cell r="I34">
            <v>2.1639499999999998</v>
          </cell>
        </row>
        <row r="35">
          <cell r="A35">
            <v>90</v>
          </cell>
          <cell r="B35">
            <v>4.3045299999999997</v>
          </cell>
          <cell r="C35">
            <v>2.1522700000000001</v>
          </cell>
          <cell r="D35">
            <v>3.15021</v>
          </cell>
          <cell r="E35">
            <v>2.21712</v>
          </cell>
          <cell r="F35">
            <v>4.3045200000000001</v>
          </cell>
          <cell r="G35">
            <v>2.1522600000000001</v>
          </cell>
          <cell r="H35">
            <v>3.3234499999999998</v>
          </cell>
          <cell r="I35">
            <v>2.2981099999999999</v>
          </cell>
        </row>
        <row r="36">
          <cell r="A36">
            <v>92</v>
          </cell>
          <cell r="B36">
            <v>4.6228499999999997</v>
          </cell>
          <cell r="C36">
            <v>2.3114300000000001</v>
          </cell>
          <cell r="D36">
            <v>3.3645100000000001</v>
          </cell>
          <cell r="E36">
            <v>2.3531200000000001</v>
          </cell>
          <cell r="F36">
            <v>4.6228400000000001</v>
          </cell>
          <cell r="G36">
            <v>2.31142</v>
          </cell>
          <cell r="H36">
            <v>3.5418799999999999</v>
          </cell>
          <cell r="I36">
            <v>2.4359000000000002</v>
          </cell>
        </row>
        <row r="37">
          <cell r="A37">
            <v>96</v>
          </cell>
          <cell r="B37">
            <v>4.8901199999999996</v>
          </cell>
          <cell r="C37">
            <v>2.4450599999999998</v>
          </cell>
          <cell r="D37">
            <v>3.58901</v>
          </cell>
          <cell r="E37">
            <v>2.5232100000000002</v>
          </cell>
          <cell r="F37">
            <v>4.8901000000000003</v>
          </cell>
          <cell r="G37">
            <v>2.4450500000000002</v>
          </cell>
          <cell r="H37">
            <v>3.7736299999999998</v>
          </cell>
          <cell r="I37">
            <v>2.6091799999999998</v>
          </cell>
        </row>
        <row r="38">
          <cell r="A38">
            <v>100</v>
          </cell>
          <cell r="B38">
            <v>5.1641000000000004</v>
          </cell>
          <cell r="C38">
            <v>2.5820500000000002</v>
          </cell>
          <cell r="D38">
            <v>3.8203499999999999</v>
          </cell>
          <cell r="E38">
            <v>2.6991000000000001</v>
          </cell>
          <cell r="F38">
            <v>5.1641000000000004</v>
          </cell>
          <cell r="G38">
            <v>2.5820500000000002</v>
          </cell>
          <cell r="H38">
            <v>4.0122299999999997</v>
          </cell>
          <cell r="I38">
            <v>2.7885800000000001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5">
          <cell r="A5">
            <v>0</v>
          </cell>
        </row>
      </sheetData>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
      <sheetName val="BASE"/>
      <sheetName val="BASE CTOS"/>
      <sheetName val="PRELIM"/>
      <sheetName val="TUBERIA"/>
      <sheetName val="EXCAVA"/>
      <sheetName val="RESUMEN OBRAS "/>
      <sheetName val="1. Caja de Control y Aforo"/>
      <sheetName val="1. APU CAJA CONTROL"/>
      <sheetName val="2. Desarenador"/>
      <sheetName val="2. APU DESARENADOR"/>
      <sheetName val="3. Conducción"/>
      <sheetName val="3. APU CONDUCCIÓN"/>
      <sheetName val="4. Tanques Existentes"/>
      <sheetName val="4. APU Tanques Existentes"/>
      <sheetName val="5. Red Distribución"/>
      <sheetName val="5. APU Red Distribución"/>
      <sheetName val="6.  Opt. PTAP existente"/>
      <sheetName val="6. APU OPT PTAP"/>
      <sheetName val="RES MATERERIALES ACUEDUCTO"/>
      <sheetName val="BASE_CTOS"/>
      <sheetName val="RESUMEN_OBRAS_"/>
      <sheetName val="1__Caja_de_Control_y_Aforo"/>
      <sheetName val="1__APU_CAJA_CONTROL"/>
      <sheetName val="2__Desarenador"/>
      <sheetName val="2__APU_DESARENADOR"/>
      <sheetName val="3__Conducción"/>
      <sheetName val="3__APU_CONDUCCIÓN"/>
      <sheetName val="4__Tanques_Existentes"/>
      <sheetName val="4__APU_Tanques_Existentes"/>
      <sheetName val="5__Red_Distribución"/>
      <sheetName val="5__APU_Red_Distribución"/>
      <sheetName val="6___Opt__PTAP_existente"/>
      <sheetName val="6__APU_OPT_PTAP"/>
      <sheetName val="RES_MATERERIALES_ACUEDUCTO"/>
      <sheetName val="BASE_CTOS2"/>
      <sheetName val="RESUMEN_OBRAS_2"/>
      <sheetName val="1__Caja_de_Control_y_Aforo2"/>
      <sheetName val="1__APU_CAJA_CONTROL2"/>
      <sheetName val="2__Desarenador2"/>
      <sheetName val="2__APU_DESARENADOR2"/>
      <sheetName val="3__Conducción2"/>
      <sheetName val="3__APU_CONDUCCIÓN2"/>
      <sheetName val="4__Tanques_Existentes2"/>
      <sheetName val="4__APU_Tanques_Existentes2"/>
      <sheetName val="5__Red_Distribución2"/>
      <sheetName val="5__APU_Red_Distribución2"/>
      <sheetName val="6___Opt__PTAP_existente2"/>
      <sheetName val="6__APU_OPT_PTAP2"/>
      <sheetName val="RES_MATERERIALES_ACUEDUCTO2"/>
      <sheetName val="BASE_CTOS1"/>
      <sheetName val="RESUMEN_OBRAS_1"/>
      <sheetName val="1__Caja_de_Control_y_Aforo1"/>
      <sheetName val="1__APU_CAJA_CONTROL1"/>
      <sheetName val="2__Desarenador1"/>
      <sheetName val="2__APU_DESARENADOR1"/>
      <sheetName val="3__Conducción1"/>
      <sheetName val="3__APU_CONDUCCIÓN1"/>
      <sheetName val="4__Tanques_Existentes1"/>
      <sheetName val="4__APU_Tanques_Existentes1"/>
      <sheetName val="5__Red_Distribución1"/>
      <sheetName val="5__APU_Red_Distribución1"/>
      <sheetName val="6___Opt__PTAP_existente1"/>
      <sheetName val="6__APU_OPT_PTAP1"/>
      <sheetName val="RES_MATERERIALES_ACUEDUCTO1"/>
    </sheetNames>
    <sheetDataSet>
      <sheetData sheetId="0">
        <row r="136">
          <cell r="D136">
            <v>18202.719999999998</v>
          </cell>
        </row>
      </sheetData>
      <sheetData sheetId="1" refreshError="1">
        <row r="136">
          <cell r="D136">
            <v>18202.719999999998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INSUMOS"/>
      <sheetName val="Formular"/>
      <sheetName val="Recursos"/>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C5">
            <v>0.06</v>
          </cell>
        </row>
        <row r="63">
          <cell r="D63">
            <v>348000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pozos unisafas"/>
      <sheetName val="Plan ejecución"/>
      <sheetName val="ppto sistema septico"/>
      <sheetName val="Presupuesto Convenio"/>
      <sheetName val="Interventoria"/>
      <sheetName val="Memoria de Calculo VIATICOS y T"/>
      <sheetName val="Memoria de calculo"/>
      <sheetName val="IVA"/>
      <sheetName val="Formato 1"/>
      <sheetName val="A.P.U. 1"/>
      <sheetName val="FICHAS "/>
      <sheetName val="BASE SALARIOS"/>
      <sheetName val="Resumen Total"/>
      <sheetName val="FP"/>
      <sheetName val="MO CALIFICADA"/>
      <sheetName val="HONORARIOS CORPORATIVOS 2016"/>
      <sheetName val="Administ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pozos unisafas"/>
      <sheetName val="Plan ejecución"/>
      <sheetName val="Presupuesto Convenio"/>
      <sheetName val="A.U"/>
      <sheetName val="ppto sistema septico"/>
      <sheetName val="Interventoria"/>
      <sheetName val="MC Interventoria"/>
      <sheetName val="Memoria de calculo"/>
      <sheetName val="IVA"/>
      <sheetName val="Formato 1"/>
      <sheetName val="A.P.U. "/>
      <sheetName val="FICHAS "/>
      <sheetName val="BASE SALARIOS"/>
      <sheetName val="Resumen Total"/>
      <sheetName val="FP"/>
      <sheetName val="MO CALIFICADA"/>
      <sheetName val="HONORARIOS CORPORATIVOS 2016"/>
      <sheetName val="Administ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jecución"/>
      <sheetName val="Presupuesto Contrato"/>
      <sheetName val="Presupuesto Convenio"/>
      <sheetName val="Memoria de calculo"/>
      <sheetName val="PPTO TOTAL"/>
      <sheetName val="RESUMEN COSTO DEL PROYECTO"/>
      <sheetName val="INTERVENTORIA MOC"/>
      <sheetName val="MC Act. 6 EXCL IVA"/>
      <sheetName val="APU S.R"/>
      <sheetName val="FICHAS S.R"/>
      <sheetName val="BASE SALARIOS"/>
      <sheetName val="FP"/>
      <sheetName val="Honorarios Corporativos"/>
      <sheetName val="Administracion"/>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RESUMEN OBRAS"/>
      <sheetName val="COLECTOR-NORTE"/>
      <sheetName val="APU COLECTOR-NORTE"/>
      <sheetName val="COLECTOR-SUR"/>
      <sheetName val="APU COLECTOR-SUR"/>
      <sheetName val="REDES SECUND NORTE"/>
      <sheetName val="APU Redes Secundarias  NORTE"/>
      <sheetName val="REDES SECUND SUR"/>
      <sheetName val="APU Redes Secundarias  SUR"/>
      <sheetName val="DOMICILIARES"/>
      <sheetName val="APU DOMICILIARES"/>
      <sheetName val="PRESUPUESTO PTAR"/>
      <sheetName val="APU PTAR"/>
      <sheetName val="MATER Y MO"/>
      <sheetName val=""/>
    </sheetNames>
    <sheetDataSet>
      <sheetData sheetId="0" refreshError="1"/>
      <sheetData sheetId="1" refreshError="1"/>
      <sheetData sheetId="2">
        <row r="8">
          <cell r="D8">
            <v>0.65780000000000005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ción del subproyecto"/>
      <sheetName val="1. Solicitud iniciativa ext"/>
      <sheetName val="1. Solicitud iniciativa int "/>
      <sheetName val="2. Identificación"/>
      <sheetName val="3. Preparación"/>
      <sheetName val="4. Est. Previos Contratación"/>
      <sheetName val="5. Est. Previos Prest. Servicio"/>
      <sheetName val="6. Producto (POI)"/>
      <sheetName val="7. Memoria de Calculo"/>
      <sheetName val="Anexo 1 Subp. Saneam-Consult"/>
      <sheetName val="Anexo 2 S. Saneamiento-Obra"/>
      <sheetName val="Anexo 3. Ppto Obra Saneamiento"/>
      <sheetName val="Anexo 4. A.P.U Obra."/>
      <sheetName val="Anexo 5. Ppto. Consultoria"/>
      <sheetName val="mapa POMCH"/>
      <sheetName val="listado proyectos POMCH"/>
      <sheetName val="mapa DMI_RFP"/>
      <sheetName val="Listado proyectos DMI-RFP"/>
      <sheetName val="Clas_Mano de Obra"/>
      <sheetName val="mapa ZON_AMB"/>
      <sheetName val="mapa ZSH"/>
      <sheetName val="base de datos"/>
      <sheetName val="Tramites_ambient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ENSIONES"/>
      <sheetName val="CANALETA9"/>
      <sheetName val="CANALETA (6&quot;)"/>
      <sheetName val="CAUDALES PARSHALL"/>
      <sheetName val="GRÁFICO PARSHALL"/>
      <sheetName val="VISCOSIDAD"/>
      <sheetName val="BASE"/>
      <sheetName val="Informe de Obra Extra"/>
      <sheetName val="CANALETA_(6&quot;)"/>
      <sheetName val="CAUDALES_PARSHALL"/>
      <sheetName val="GRÁFICO_PARSHALL"/>
      <sheetName val="LISTA CÓDIGOS"/>
      <sheetName val="BASE APU"/>
      <sheetName val="MANO DE OBRA"/>
      <sheetName val="INSUMOS"/>
      <sheetName val="EQUIPOS"/>
      <sheetName val="MATERIALES"/>
      <sheetName val="ESTRUCTURAS"/>
      <sheetName val="TRANSPORTE"/>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BASE PARA IMPRIMIR"/>
      <sheetName val="PRELIM"/>
      <sheetName val="TUBERIA"/>
      <sheetName val="EXCAVA"/>
      <sheetName val="REDES"/>
      <sheetName val="APU Re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a 2.1"/>
      <sheetName val="Tablas 3.1-3.9"/>
      <sheetName val="Tabla 4.1"/>
      <sheetName val="Tabla 4.2"/>
      <sheetName val="Tabla 5.2"/>
      <sheetName val="Tabla 6.7"/>
      <sheetName val="Tabla 1.1"/>
      <sheetName val="Tabla 2.1"/>
      <sheetName val="Tabla 5.1"/>
      <sheetName val="Tabla 6.1"/>
      <sheetName val="Tabla 6.2"/>
      <sheetName val="Tabla 6.3"/>
      <sheetName val="Tabla 6.4"/>
      <sheetName val="Tabla 6.5"/>
      <sheetName val="Tabla 6.6"/>
      <sheetName val="Gráfica 6.1"/>
      <sheetName val="Tabla 7.1"/>
      <sheetName val="Tabla 7.2"/>
      <sheetName val="Tabla 7.3"/>
      <sheetName val="Tabla 8.1"/>
      <sheetName val="Tabla 8.2"/>
      <sheetName val="Tabla 8.3"/>
      <sheetName val="Tabla 8.4"/>
      <sheetName val="Hoja1"/>
      <sheetName val="Gráfica_2_1"/>
      <sheetName val="Tablas_3_1-3_9"/>
      <sheetName val="Tabla_4_1"/>
      <sheetName val="Tabla_4_2"/>
      <sheetName val="Tabla_5_2"/>
      <sheetName val="Tabla_6_7"/>
      <sheetName val="Tabla_1_1"/>
      <sheetName val="Tabla_2_1"/>
      <sheetName val="Tabla_5_1"/>
      <sheetName val="Tabla_6_1"/>
      <sheetName val="Tabla_6_2"/>
      <sheetName val="Tabla_6_3"/>
      <sheetName val="Tabla_6_4"/>
      <sheetName val="Tabla_6_5"/>
      <sheetName val="Tabla_6_6"/>
      <sheetName val="Gráfica_6_1"/>
      <sheetName val="Tabla_7_1"/>
      <sheetName val="Tabla_7_2"/>
      <sheetName val="Tabla_7_3"/>
      <sheetName val="Tabla_8_1"/>
      <sheetName val="Tabla_8_2"/>
      <sheetName val="Tabla_8_3"/>
      <sheetName val="Tabla_8_4"/>
      <sheetName val="Informe de Obra Extra"/>
      <sheetName val="CF y CV"/>
      <sheetName val="CANALETA9"/>
      <sheetName val="Solicitud de Servicios"/>
      <sheetName val="INSUMOS"/>
      <sheetName val="REC-COD,"/>
      <sheetName val="Sábana"/>
      <sheetName val="LISTA CÓDIGOS"/>
      <sheetName val="BASE APU"/>
      <sheetName val="MANO DE OBRA"/>
      <sheetName val="EQUIPOS"/>
      <sheetName val="MATERIALES"/>
      <sheetName val="ESTRUCTURAS"/>
      <sheetName val="TRANSPORTE"/>
      <sheetName val="Corte Administracion"/>
      <sheetName val="Reproceso R79-C22 SP. S56 "/>
      <sheetName val="Delta 67"/>
      <sheetName val="Delta 60-Delta 61 (3)"/>
      <sheetName val="Acta N° 4 ACUMULADOS"/>
      <sheetName val="Acta N° 4 FIRMAR"/>
      <sheetName val="Acta N° 4"/>
      <sheetName val="Costos Ambientales  A.4"/>
      <sheetName val="Delta 25-Delta 31 "/>
      <sheetName val="Delta 82-Delta 87 "/>
      <sheetName val="Delta 87-Delta 89 "/>
      <sheetName val="Delta 103- Delta 90"/>
      <sheetName val="Cerramiento Los Salados"/>
      <sheetName val="Tunnel Liner Acta 4"/>
      <sheetName val="AVANCE PH (3)"/>
      <sheetName val="AVANCE TUNNEL LINER (3)"/>
      <sheetName val="Delta 87-Delta 89 (2)"/>
      <sheetName val="Delta 103-Delta 90  (2)"/>
      <sheetName val="Delta 25-Delta 31"/>
      <sheetName val="Delta 21-Delta 31"/>
      <sheetName val="Delta 60-Delta 61 (2)"/>
      <sheetName val="Delta 41 ventosa 2 (2)"/>
      <sheetName val="Limpieza vactor"/>
      <sheetName val="Transporte Tuberia HD"/>
      <sheetName val="Paloquemado"/>
      <sheetName val="AVANCE PH (2)"/>
      <sheetName val="AVANCE TUNNEL LINER (2)"/>
      <sheetName val="Ejecutado SEM 12"/>
      <sheetName val="Delta 82-Delta 87"/>
      <sheetName val="Delta 87-Delta 89"/>
      <sheetName val="Delta 60-Delta 61"/>
      <sheetName val="Delta 67 Ventosa 3"/>
      <sheetName val="Delta 41 ventosa 2"/>
      <sheetName val="AVANCE PH"/>
      <sheetName val="AVANCE TUNNEL LINER"/>
      <sheetName val="Caja Mariposa Δ60 Acta 4"/>
      <sheetName val="PH Acta 4 Junio"/>
      <sheetName val="Urbanismo SP. S59"/>
      <sheetName val="Pavimento SP. S57"/>
      <sheetName val="Ambiental y Social Alcarav. S54"/>
      <sheetName val="BAS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
      <sheetName val="PRESTACIONES1"/>
      <sheetName val="PRESTACIONES"/>
      <sheetName val="BASE"/>
      <sheetName val="BASE_ CONCRETOS"/>
      <sheetName val="CÁLCULOS"/>
      <sheetName val="PTAR "/>
      <sheetName val="APU PTAR"/>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BASE CTOS"/>
      <sheetName val="COLECTOR EL TURCO"/>
      <sheetName val="APU COLECTOR EL TURCO"/>
      <sheetName val=" PTAR Santa_Rosa"/>
      <sheetName val="APU PTAR"/>
      <sheetName val="resumen"/>
      <sheetName val="IVA"/>
      <sheetName val="FORMATO_Don Mat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BASE CTOS"/>
      <sheetName val="impacto "/>
      <sheetName val="BASE"/>
      <sheetName val="PRESTA"/>
      <sheetName val="BOCATOMA.ADUC.DESARENADOR"/>
      <sheetName val="APU BOC.DESARENADOR."/>
      <sheetName val="DESARENADOR PTAP"/>
      <sheetName val="APU DESARENADOR PTAP"/>
      <sheetName val="PTAP"/>
      <sheetName val="APU PTAP"/>
      <sheetName val="REDES DISTR."/>
      <sheetName val="APU REDES DISTR."/>
      <sheetName val="RESUMEN OBRAS"/>
      <sheetName val="CÁLCULOS"/>
      <sheetName val="PRESTACIONES"/>
      <sheetName val="BASE_ CONCRETOS"/>
      <sheetName val="1.Tanque Superficial"/>
      <sheetName val="APU Tanque Superficial"/>
      <sheetName val="2. BOMBEO"/>
      <sheetName val="APU BOMBEO"/>
      <sheetName val="3. Tanque Almto Elevado"/>
      <sheetName val="APU Tanque Almto Elevado"/>
      <sheetName val="4. PTAP"/>
      <sheetName val="5. Red de Distribucion"/>
      <sheetName val="APUS Red de Distribucion"/>
      <sheetName val="6.PTAP_SistEléctrico"/>
      <sheetName val="APU_SisEléctrico"/>
      <sheetName val="RESUMEN OBRAS "/>
      <sheetName val="BOMBEO PTAR"/>
      <sheetName val="COLECTOR-PTAR"/>
      <sheetName val="AIU"/>
      <sheetName val="PRELIM"/>
      <sheetName val="TUBERIA"/>
      <sheetName val="EXCAVA"/>
      <sheetName val="APU COLECTOR-NORTE"/>
      <sheetName val="APU COLECTOR-SUR"/>
      <sheetName val="APU Redes Secundarias  NORTE"/>
      <sheetName val="APU Redes Secundarias  SUR"/>
      <sheetName val="APU DOMICILIARES"/>
      <sheetName val="PRESUPUESTO PTAR"/>
      <sheetName val="APU PTAR"/>
      <sheetName val="SUB A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Itemes Renovación"/>
      <sheetName val="SUB_APU1"/>
      <sheetName val="Cantidades_de_Obra1"/>
      <sheetName val="SUB_APU3"/>
      <sheetName val="Cantidades_de_Obra3"/>
      <sheetName val="SUB_APU2"/>
      <sheetName val="Cantidades_de_Obra2"/>
      <sheetName val="Itemes_Renovación"/>
      <sheetName val="SUB_APU4"/>
      <sheetName val="Cantidades_de_Obra4"/>
      <sheetName val="SUB_APU5"/>
      <sheetName val="Cantidades_de_Obra5"/>
      <sheetName val="Jul-Ago"/>
      <sheetName val="May-Jun"/>
      <sheetName val="Sep-Oct"/>
      <sheetName val="Sábana"/>
      <sheetName val="LISTA CÓDIGOS"/>
      <sheetName val="BASE APU"/>
      <sheetName val="MANO DE OBRA"/>
      <sheetName val="EQUIPOS"/>
      <sheetName val="MATERIALES"/>
      <sheetName val="ESTRUCTURAS"/>
      <sheetName val="TRANSPORTE"/>
      <sheetName val="Base de Diseño"/>
      <sheetName val="CIC-NOV"/>
      <sheetName val="PLAN DE INVERSION ANTICIPO"/>
      <sheetName val="inv mensual"/>
      <sheetName val="borrador flujo inv"/>
      <sheetName val="social-ambiental"/>
      <sheetName val="AU"/>
      <sheetName val="SUB_APU6"/>
      <sheetName val="Cantidades_de_Obra6"/>
      <sheetName val="Itemes_Renovación1"/>
      <sheetName val="Coloc. e Interc. Tapones"/>
      <sheetName val="Cambio de Valv."/>
      <sheetName val="Interc de Hidr."/>
      <sheetName val="Interc.tapones"/>
      <sheetName val="Interc.válv."/>
      <sheetName val="Paral. 1"/>
      <sheetName val="Paral. 2"/>
      <sheetName val="Paral. 3"/>
      <sheetName val="Paral.4"/>
      <sheetName val="Varios."/>
      <sheetName val="CALC PROD MENSUAL"/>
      <sheetName val="Design"/>
      <sheetName val="experiencia especifica"/>
      <sheetName val="experiencia general"/>
      <sheetName val="FORMULARIO N° 14"/>
      <sheetName val="FORMULARIO N°7"/>
      <sheetName val="contrato en ejecución"/>
      <sheetName val="Calculo capacidad residual"/>
      <sheetName val="SUB_APU7"/>
      <sheetName val="Cantidades_de_Obra7"/>
      <sheetName val="Itemes_Renovación2"/>
      <sheetName val="LISTA_CÓDIGOS"/>
      <sheetName val="BASE_APU"/>
      <sheetName val="MANO_DE_OBRA"/>
      <sheetName val="ELECTRICO"/>
      <sheetName val="Vuelta"/>
      <sheetName val="TABLAS"/>
      <sheetName val="SUB_APU8"/>
      <sheetName val="Cantidades_de_Obra8"/>
      <sheetName val="Itemes_Renovación3"/>
      <sheetName val="SUB_APU9"/>
      <sheetName val="Cantidades_de_Obra9"/>
      <sheetName val="Itemes_Renovación4"/>
      <sheetName val="TARIFAS-JORNAL-DIST"/>
      <sheetName val="ACTA MAYORES Y MENORES"/>
      <sheetName val="item 4.5"/>
      <sheetName val="item 4.6"/>
      <sheetName val="item 4.11"/>
      <sheetName val="item 4.13"/>
      <sheetName val="item 5.1"/>
      <sheetName val="item 5.2"/>
      <sheetName val="item 5.4"/>
      <sheetName val="item 5.5"/>
      <sheetName val="item 5.6"/>
      <sheetName val="item 5.7"/>
      <sheetName val="item 5.8"/>
      <sheetName val="item 5.9"/>
      <sheetName val="item 5.11"/>
      <sheetName val="item 5.12"/>
      <sheetName val="item 5.13"/>
      <sheetName val="item 5.15"/>
      <sheetName val="item 5.16"/>
      <sheetName val="item 6.1"/>
      <sheetName val="item 6.2"/>
      <sheetName val="item 6.4"/>
      <sheetName val="item 6.5"/>
      <sheetName val="item 6.7"/>
      <sheetName val="item 6.8"/>
      <sheetName val="item 6.10"/>
      <sheetName val="item 6.11"/>
      <sheetName val="item 6.12"/>
      <sheetName val="item 6.13"/>
      <sheetName val="item 6.14"/>
      <sheetName val="RECURSOS"/>
      <sheetName val="LISTA_CÓDIGOS1"/>
      <sheetName val="BASE_APU1"/>
      <sheetName val="MANO_DE_OBRA1"/>
      <sheetName val="PLAN_DE_INVERSION_ANTICIPO"/>
      <sheetName val="inv_mensual"/>
      <sheetName val="borrador_flujo_inv"/>
      <sheetName val="Coloc__e_Interc__Tapones"/>
      <sheetName val="Cambio_de_Valv_"/>
      <sheetName val="Interc_de_Hidr_"/>
      <sheetName val="Interc_tapones"/>
      <sheetName val="Interc_válv_"/>
      <sheetName val="Paral__1"/>
      <sheetName val="Paral__2"/>
      <sheetName val="Paral__3"/>
      <sheetName val="Paral_4"/>
      <sheetName val="Varios_"/>
    </sheetNames>
    <sheetDataSet>
      <sheetData sheetId="0">
        <row r="1">
          <cell r="A1" t="str">
            <v>CODIGO</v>
          </cell>
        </row>
      </sheetData>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 xml:space="preserve">Tablero de control para bombas. el cual incluye: cofre metalico, breaker industrial de caja moldeada, protecciones motores, selectores de tres posiciones, pilotos verdes, alarma interperie 220 v, pilotos rojos, minibreaker, borneras tipo riel omega, dps, </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ow r="1">
          <cell r="A1">
            <v>0</v>
          </cell>
        </row>
      </sheetData>
      <sheetData sheetId="24"/>
      <sheetData sheetId="25"/>
      <sheetData sheetId="26"/>
      <sheetData sheetId="27"/>
      <sheetData sheetId="28"/>
      <sheetData sheetId="29"/>
      <sheetData sheetId="30" refreshError="1"/>
      <sheetData sheetId="31" refreshError="1"/>
      <sheetData sheetId="32">
        <row r="1">
          <cell r="A1">
            <v>0</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t="str">
            <v>MUNICIPIO DE SONSON ANTIOQUIA</v>
          </cell>
        </row>
      </sheetData>
      <sheetData sheetId="53"/>
      <sheetData sheetId="54"/>
      <sheetData sheetId="55"/>
      <sheetData sheetId="56"/>
      <sheetData sheetId="57"/>
      <sheetData sheetId="58">
        <row r="1">
          <cell r="A1" t="str">
            <v>CODIGO</v>
          </cell>
        </row>
      </sheetData>
      <sheetData sheetId="59"/>
      <sheetData sheetId="60"/>
      <sheetData sheetId="61"/>
      <sheetData sheetId="62"/>
      <sheetData sheetId="63"/>
      <sheetData sheetId="64" refreshError="1"/>
      <sheetData sheetId="65" refreshError="1"/>
      <sheetData sheetId="66" refreshError="1"/>
      <sheetData sheetId="67">
        <row r="1">
          <cell r="A1" t="str">
            <v>CODIGO</v>
          </cell>
        </row>
      </sheetData>
      <sheetData sheetId="68"/>
      <sheetData sheetId="69"/>
      <sheetData sheetId="70"/>
      <sheetData sheetId="71"/>
      <sheetData sheetId="72"/>
      <sheetData sheetId="73" refreshError="1"/>
      <sheetData sheetId="74">
        <row r="1">
          <cell r="A1">
            <v>0</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row r="1">
          <cell r="A1">
            <v>0</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ORMULARIO AIU"/>
      <sheetName val="PRESTA"/>
      <sheetName val="BASE CTOS"/>
      <sheetName val="RESUMEN OBRAS"/>
      <sheetName val="COLECTOR SANTA_ROSA"/>
      <sheetName val="APU COLECTOR SUR"/>
    </sheetNames>
    <sheetDataSet>
      <sheetData sheetId="0" refreshError="1"/>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RESIDUAL"/>
      <sheetName val="APU_ASSA"/>
      <sheetName val="FORMULARIO AIU"/>
      <sheetName val="PRESTA"/>
      <sheetName val="1. SISTEMA  MEDIA FALDA"/>
      <sheetName val="2. SISTEMA LOS GILES"/>
      <sheetName val="3. SISTEMA BATEA MOJADA"/>
      <sheetName val="4.PTAP "/>
      <sheetName val="5. TANQUE 300"/>
      <sheetName val="6. TANQUE 50"/>
      <sheetName val="7. OPTIM TANQUES"/>
      <sheetName val="8. REDES"/>
      <sheetName val="9. MICROCUENCAS"/>
      <sheetName val="APU MED FALD,  PLANTA, TANQUES "/>
      <sheetName val="APU LOS GILES"/>
      <sheetName val="APU BATEA MOJADA"/>
      <sheetName val="APU MICRO"/>
      <sheetName val="RESUMEN OBRAS"/>
      <sheetName val="BASE"/>
      <sheetName val="BASE CTOS"/>
      <sheetName val="PRIORIZ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Plan Ejecución 2022"/>
      <sheetName val="Plan Ejecución 2022 (2)"/>
      <sheetName val="PE PSP"/>
      <sheetName val="Presupuesto Contrato"/>
      <sheetName val="Ppto PSP"/>
      <sheetName val="Presupuesto Convenio 2023"/>
      <sheetName val="Memoria de cálculo O1"/>
      <sheetName val="Memoria de cálculo O2"/>
      <sheetName val="Memoria de cálculo 2022"/>
      <sheetName val="Memoria de cálculo 2023"/>
      <sheetName val="Estudio de mercado"/>
      <sheetName val="Gastos de adm"/>
      <sheetName val="Bienes relevantes"/>
      <sheetName val="Propuesta económica O1"/>
      <sheetName val="Propuesta económica O2"/>
      <sheetName val="Propuesta económica O3"/>
      <sheetName val="PAB CA"/>
      <sheetName val="Evaluación financiera"/>
      <sheetName val="SHU"/>
      <sheetName val="DEDICACIONES PERSONALES "/>
      <sheetName val="PAB CR"/>
      <sheetName val="Habilitados - SI"/>
      <sheetName val="A. Lances - SIP"/>
      <sheetName val="D. Lances - SIP"/>
      <sheetName val="DD. Lances - SIP"/>
      <sheetName val="Honorarios"/>
      <sheetName val="Gtos DyM"/>
      <sheetName val="Jornal"/>
      <sheetName val="Salarios"/>
      <sheetName val="Alimentación"/>
      <sheetName val="Distintivos"/>
      <sheetName val="Cuantías"/>
      <sheetName val="Apoyo"/>
      <sheetName val="Obra&amp;K"/>
      <sheetName val="Imp &amp; garantías"/>
      <sheetName val="A&amp;PA"/>
      <sheetName val="IVA"/>
      <sheetName val="Notas PE"/>
      <sheetName val="CF&amp;O"/>
      <sheetName val="Ayuda honorarios"/>
    </sheetNames>
    <sheetDataSet>
      <sheetData sheetId="0" refreshError="1">
        <row r="3">
          <cell r="G3" t="str">
            <v>VERSIÓN: 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jecución"/>
      <sheetName val="Presupuesto Convenio "/>
      <sheetName val="ppto sistema septico"/>
      <sheetName val="FICHAS "/>
      <sheetName val="A.P.U. 2020"/>
      <sheetName val="BASE SALARIOS 2020"/>
      <sheetName val="FP 2018"/>
      <sheetName val="A.U"/>
      <sheetName val="Administracion"/>
    </sheetNames>
    <sheetDataSet>
      <sheetData sheetId="0" refreshError="1"/>
      <sheetData sheetId="1" refreshError="1"/>
      <sheetData sheetId="2" refreshError="1"/>
      <sheetData sheetId="3">
        <row r="106">
          <cell r="O106">
            <v>0</v>
          </cell>
          <cell r="P106">
            <v>0</v>
          </cell>
          <cell r="Q106">
            <v>0</v>
          </cell>
          <cell r="R106">
            <v>0</v>
          </cell>
          <cell r="S106">
            <v>0</v>
          </cell>
          <cell r="T106">
            <v>0</v>
          </cell>
          <cell r="U106">
            <v>0</v>
          </cell>
          <cell r="V106">
            <v>0</v>
          </cell>
        </row>
      </sheetData>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2)"/>
      <sheetName val="IVA"/>
      <sheetName val="RESUMEN SIN IVA"/>
      <sheetName val="BASE SALARIOS"/>
      <sheetName val="BASE"/>
      <sheetName val="BASE CTOS"/>
      <sheetName val="BASE ORIGINAL"/>
      <sheetName val="interv. pozos maceo"/>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arzo"/>
      <sheetName val="A.P.U."/>
      <sheetName val="IVA"/>
      <sheetName val="BASE SALARIOS"/>
      <sheetName val="APU SOL IND"/>
      <sheetName val="BASE"/>
      <sheetName val="BASE CTOS"/>
      <sheetName val="BASE ORIGINAL"/>
      <sheetName val="interv. pozos tarso"/>
      <sheetName val="RESUMEN COSTOS (2)"/>
    </sheetNames>
    <sheetDataSet>
      <sheetData sheetId="0"/>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Marcela Buitrago Monsalve" id="{84E3DF32-C163-49F2-ABD7-88505B6E89B5}" userId="S::marcela_buitrago@corantioquia.gov.co::4bd81242-82c5-4d8a-a855-242b5812cab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3" dT="2022-07-26T21:07:14.20" personId="{84E3DF32-C163-49F2-ABD7-88505B6E89B5}" id="{941F4FFC-E651-4D66-AB14-08FFB3BDD677}">
    <text>Lo que va a dar el municipio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gyj.com.co/malambo/alambre-recocido-malambo-trefilados.html" TargetMode="External"/><Relationship Id="rId13" Type="http://schemas.openxmlformats.org/officeDocument/2006/relationships/vmlDrawing" Target="../drawings/vmlDrawing7.vml"/><Relationship Id="rId3" Type="http://schemas.openxmlformats.org/officeDocument/2006/relationships/hyperlink" Target="https://www.homecenter.com.co/homecenter-co/category/cat5820029/tejas-traslucidas/" TargetMode="External"/><Relationship Id="rId7" Type="http://schemas.openxmlformats.org/officeDocument/2006/relationships/hyperlink" Target="https://www.homecenter.com.co/homecenter-co/product/43266/malla-15x15cm-40mm-xx-084-6x235m/43266/" TargetMode="External"/><Relationship Id="rId12" Type="http://schemas.openxmlformats.org/officeDocument/2006/relationships/drawing" Target="../drawings/drawing4.xml"/><Relationship Id="rId2" Type="http://schemas.openxmlformats.org/officeDocument/2006/relationships/hyperlink" Target="https://www.homecenter.com.co/homecenter-co/category/cat6040001/pinturas-especializadas-e-industriales/" TargetMode="External"/><Relationship Id="rId1" Type="http://schemas.openxmlformats.org/officeDocument/2006/relationships/hyperlink" Target="https://www.hidroequipos.com.co/valvulas.html" TargetMode="External"/><Relationship Id="rId6" Type="http://schemas.openxmlformats.org/officeDocument/2006/relationships/hyperlink" Target="https://www.epm.com.co/content/dam/epm/clientes-y-usuarios/aguas/tarifas-aguas/2024/05-tarifas-aguas-fact-may-2024.pdf" TargetMode="External"/><Relationship Id="rId11" Type="http://schemas.openxmlformats.org/officeDocument/2006/relationships/printerSettings" Target="../printerSettings/printerSettings7.bin"/><Relationship Id="rId5" Type="http://schemas.openxmlformats.org/officeDocument/2006/relationships/hyperlink" Target="https://www.homecenter.com.co/homecenter-co/product/295420/sika-101-mortero-plus-recubrimiento-impermeable-gris-25kg/295420/" TargetMode="External"/><Relationship Id="rId10" Type="http://schemas.openxmlformats.org/officeDocument/2006/relationships/hyperlink" Target="https://mayoristademateriales.com/producto/varilla-hierro-corrugada-3-8-por-6-mts/" TargetMode="External"/><Relationship Id="rId4" Type="http://schemas.openxmlformats.org/officeDocument/2006/relationships/hyperlink" Target="https://www.homecenter.com.co/homecenter-co/product/13846/cemento-argos-gris-50kg/13846/" TargetMode="External"/><Relationship Id="rId9" Type="http://schemas.openxmlformats.org/officeDocument/2006/relationships/hyperlink" Target="https://www.homecenter.com.co/homecenter-co/product/89828/angulo-6m-x-2-x-1-8-pulg/89828/" TargetMode="External"/><Relationship Id="rId1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51"/>
  <sheetViews>
    <sheetView showGridLines="0" view="pageBreakPreview" zoomScale="80" zoomScaleNormal="80" zoomScaleSheetLayoutView="80" workbookViewId="0">
      <selection activeCell="C25" sqref="C25"/>
    </sheetView>
  </sheetViews>
  <sheetFormatPr baseColWidth="10" defaultColWidth="26.5" defaultRowHeight="18" customHeight="1"/>
  <cols>
    <col min="1" max="3" width="26.5" style="770"/>
    <col min="4" max="4" width="26.5" style="807"/>
    <col min="5" max="12" width="26.5" style="770"/>
    <col min="13" max="15" width="24.83203125" style="770" customWidth="1"/>
    <col min="16" max="28" width="24.83203125" style="770" hidden="1" customWidth="1"/>
    <col min="29" max="29" width="24.83203125" style="770" customWidth="1"/>
    <col min="30" max="16384" width="26.5" style="770"/>
  </cols>
  <sheetData>
    <row r="1" spans="1:29" ht="18" customHeight="1">
      <c r="A1" s="1100"/>
      <c r="B1" s="1101"/>
      <c r="C1" s="1106" t="s">
        <v>0</v>
      </c>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769" t="s">
        <v>1</v>
      </c>
    </row>
    <row r="2" spans="1:29" ht="23.25" customHeight="1">
      <c r="A2" s="1102"/>
      <c r="B2" s="1103"/>
      <c r="C2" s="1106" t="s">
        <v>2</v>
      </c>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771"/>
    </row>
    <row r="3" spans="1:29" ht="23.25" customHeight="1">
      <c r="A3" s="1104"/>
      <c r="B3" s="1105"/>
      <c r="C3" s="1106" t="s">
        <v>3</v>
      </c>
      <c r="D3" s="1106"/>
      <c r="E3" s="1106"/>
      <c r="F3" s="1106"/>
      <c r="G3" s="1106"/>
      <c r="H3" s="1106" t="str">
        <f>[74]Instructivo!G3</f>
        <v>VERSIÓN: 03</v>
      </c>
      <c r="I3" s="1106"/>
      <c r="J3" s="1106"/>
      <c r="K3" s="1106"/>
      <c r="L3" s="1106"/>
      <c r="M3" s="1106"/>
      <c r="N3" s="1106"/>
      <c r="O3" s="1106"/>
      <c r="P3" s="1106"/>
      <c r="Q3" s="1106"/>
      <c r="R3" s="1106"/>
      <c r="S3" s="1106"/>
      <c r="T3" s="1106"/>
      <c r="U3" s="1106"/>
      <c r="V3" s="1106"/>
      <c r="W3" s="1106"/>
      <c r="X3" s="1106"/>
      <c r="Y3" s="1106"/>
      <c r="Z3" s="1106"/>
      <c r="AA3" s="1106"/>
      <c r="AB3" s="1106"/>
      <c r="AC3" s="771"/>
    </row>
    <row r="4" spans="1:29" s="771" customFormat="1" ht="22.9" customHeight="1">
      <c r="A4" s="1094" t="s">
        <v>4</v>
      </c>
      <c r="B4" s="1094"/>
      <c r="C4" s="1093" t="s">
        <v>5</v>
      </c>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772" t="str">
        <f>C4</f>
        <v>CONVENIO INTERADMINISTRATIVO</v>
      </c>
    </row>
    <row r="5" spans="1:29" s="771" customFormat="1" ht="31.9" customHeight="1">
      <c r="A5" s="1094" t="s">
        <v>6</v>
      </c>
      <c r="B5" s="1094"/>
      <c r="C5" s="1095" t="str">
        <f>'Tablas BD'!M7</f>
        <v xml:space="preserve"> “Aunar esfuerzos con el municipio de Santa Fe de Antioquia para cofinanciar el saneamiento hídrico rural en su territorio”</v>
      </c>
      <c r="D5" s="1095"/>
      <c r="E5" s="1095"/>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772" t="str">
        <f>C5</f>
        <v xml:space="preserve"> “Aunar esfuerzos con el municipio de Santa Fe de Antioquia para cofinanciar el saneamiento hídrico rural en su territorio”</v>
      </c>
    </row>
    <row r="6" spans="1:29" s="771" customFormat="1" ht="18" customHeight="1" thickBot="1">
      <c r="B6" s="773"/>
      <c r="C6" s="773"/>
      <c r="D6" s="774"/>
      <c r="E6" s="773"/>
      <c r="F6" s="775"/>
      <c r="G6" s="775"/>
      <c r="H6" s="775"/>
      <c r="I6" s="775"/>
      <c r="J6" s="776"/>
      <c r="K6" s="776"/>
      <c r="L6" s="776"/>
      <c r="M6" s="776"/>
      <c r="N6" s="776"/>
      <c r="O6" s="776"/>
      <c r="P6" s="776"/>
      <c r="Q6" s="776"/>
      <c r="R6" s="776"/>
      <c r="S6" s="776"/>
      <c r="T6" s="776"/>
      <c r="U6" s="776"/>
      <c r="V6" s="776"/>
      <c r="W6" s="776"/>
      <c r="X6" s="776"/>
      <c r="Y6" s="776"/>
      <c r="Z6" s="776"/>
      <c r="AA6" s="776"/>
      <c r="AB6" s="776"/>
      <c r="AC6" s="777"/>
    </row>
    <row r="7" spans="1:29" ht="18" customHeight="1" thickBot="1">
      <c r="A7" s="1096" t="s">
        <v>7</v>
      </c>
      <c r="B7" s="1096"/>
      <c r="C7" s="1097" t="str">
        <f>'Salarios y transporte'!B17</f>
        <v>Santa Fe de Antioquia</v>
      </c>
      <c r="D7" s="1098"/>
      <c r="E7" s="1098"/>
      <c r="F7" s="1099"/>
      <c r="H7" s="778"/>
      <c r="I7" s="778"/>
      <c r="J7" s="778"/>
      <c r="K7" s="778"/>
      <c r="L7" s="778"/>
      <c r="M7" s="778"/>
      <c r="N7" s="778"/>
      <c r="O7" s="778"/>
      <c r="P7" s="778"/>
      <c r="Q7" s="778"/>
      <c r="R7" s="778"/>
      <c r="S7" s="778"/>
      <c r="T7" s="778"/>
      <c r="U7" s="778"/>
      <c r="V7" s="778"/>
      <c r="W7" s="778"/>
      <c r="X7" s="778"/>
      <c r="Y7" s="778"/>
      <c r="Z7" s="778"/>
      <c r="AA7" s="778"/>
    </row>
    <row r="8" spans="1:29" ht="18" customHeight="1" thickBot="1">
      <c r="A8" s="1096" t="s">
        <v>8</v>
      </c>
      <c r="B8" s="1096"/>
      <c r="C8" s="1097" t="s">
        <v>9</v>
      </c>
      <c r="D8" s="1098"/>
      <c r="E8" s="1098"/>
      <c r="F8" s="1099"/>
      <c r="H8" s="779"/>
      <c r="I8" s="778"/>
      <c r="J8" s="778"/>
      <c r="K8" s="778"/>
      <c r="L8" s="778"/>
      <c r="M8" s="778"/>
      <c r="N8" s="778"/>
      <c r="O8" s="778"/>
      <c r="P8" s="778"/>
      <c r="Q8" s="778"/>
      <c r="R8" s="778"/>
      <c r="S8" s="778"/>
      <c r="T8" s="778"/>
      <c r="U8" s="778"/>
      <c r="V8" s="778"/>
      <c r="W8" s="778"/>
      <c r="X8" s="778"/>
      <c r="Y8" s="778"/>
      <c r="Z8" s="778"/>
      <c r="AA8" s="778"/>
    </row>
    <row r="9" spans="1:29" ht="18" customHeight="1" thickBot="1">
      <c r="A9" s="1107" t="s">
        <v>10</v>
      </c>
      <c r="B9" s="1107"/>
      <c r="C9" s="1097" t="s">
        <v>1187</v>
      </c>
      <c r="D9" s="1098"/>
      <c r="E9" s="1098"/>
      <c r="F9" s="1099"/>
      <c r="H9" s="778"/>
      <c r="I9" s="778"/>
      <c r="J9" s="778"/>
      <c r="K9" s="778"/>
      <c r="L9" s="778"/>
      <c r="M9" s="778"/>
      <c r="N9" s="778"/>
      <c r="O9" s="778"/>
      <c r="P9" s="778"/>
      <c r="Q9" s="778"/>
      <c r="R9" s="778"/>
      <c r="S9" s="778"/>
      <c r="T9" s="778"/>
      <c r="U9" s="778"/>
      <c r="V9" s="778"/>
      <c r="W9" s="778"/>
      <c r="X9" s="778"/>
      <c r="Y9" s="778"/>
      <c r="Z9" s="778"/>
      <c r="AA9" s="778"/>
    </row>
    <row r="10" spans="1:29" ht="18" customHeight="1" thickBot="1">
      <c r="A10" s="1107" t="s">
        <v>11</v>
      </c>
      <c r="B10" s="1107"/>
      <c r="C10" s="1108" t="s">
        <v>12</v>
      </c>
      <c r="D10" s="1109"/>
      <c r="E10" s="1109"/>
      <c r="F10" s="1110"/>
      <c r="H10" s="778"/>
      <c r="I10" s="778"/>
    </row>
    <row r="11" spans="1:29" ht="18" customHeight="1" thickBot="1">
      <c r="A11" s="780"/>
      <c r="B11" s="781"/>
      <c r="C11" s="781"/>
      <c r="D11" s="782"/>
      <c r="E11" s="781"/>
      <c r="F11" s="781"/>
      <c r="G11" s="783"/>
      <c r="H11" s="783"/>
      <c r="I11" s="783"/>
    </row>
    <row r="12" spans="1:29" ht="18" customHeight="1">
      <c r="A12" s="1111" t="s">
        <v>13</v>
      </c>
      <c r="B12" s="1112"/>
      <c r="C12" s="1112"/>
      <c r="D12" s="1112"/>
      <c r="E12" s="1112"/>
      <c r="F12" s="1112"/>
      <c r="G12" s="1112"/>
      <c r="H12" s="1112"/>
      <c r="I12" s="1112"/>
      <c r="J12" s="1112"/>
      <c r="K12" s="1112"/>
      <c r="L12" s="1112"/>
      <c r="M12" s="1112"/>
      <c r="N12" s="1112"/>
      <c r="O12" s="1112"/>
      <c r="P12" s="1113"/>
      <c r="Q12" s="1113"/>
      <c r="R12" s="1113"/>
      <c r="S12" s="1113"/>
      <c r="T12" s="1113"/>
      <c r="U12" s="1113"/>
      <c r="V12" s="1113"/>
      <c r="W12" s="1113"/>
      <c r="X12" s="1113"/>
      <c r="Y12" s="1113"/>
      <c r="Z12" s="1113"/>
      <c r="AA12" s="1113"/>
      <c r="AB12" s="1114"/>
    </row>
    <row r="13" spans="1:29" ht="18" customHeight="1">
      <c r="A13" s="1119"/>
      <c r="B13" s="1115" t="s">
        <v>14</v>
      </c>
      <c r="C13" s="1091" t="s">
        <v>15</v>
      </c>
      <c r="D13" s="1118" t="s">
        <v>16</v>
      </c>
      <c r="E13" s="1091" t="s">
        <v>17</v>
      </c>
      <c r="F13" s="1091" t="s">
        <v>18</v>
      </c>
      <c r="G13" s="1115" t="s">
        <v>19</v>
      </c>
      <c r="H13" s="1115"/>
      <c r="I13" s="1115"/>
      <c r="J13" s="1115"/>
      <c r="K13" s="1115"/>
      <c r="L13" s="1115"/>
      <c r="M13" s="1115"/>
      <c r="N13" s="1115"/>
      <c r="O13" s="1115"/>
      <c r="P13" s="1116"/>
      <c r="Q13" s="1116"/>
      <c r="R13" s="1116"/>
      <c r="S13" s="1116"/>
      <c r="T13" s="1116"/>
      <c r="U13" s="1116"/>
      <c r="V13" s="1116"/>
      <c r="W13" s="1116"/>
      <c r="X13" s="1116"/>
      <c r="Y13" s="1116"/>
      <c r="Z13" s="1116"/>
      <c r="AA13" s="1116"/>
      <c r="AB13" s="1117"/>
    </row>
    <row r="14" spans="1:29" ht="27.75" customHeight="1">
      <c r="A14" s="1119"/>
      <c r="B14" s="1115"/>
      <c r="C14" s="1091"/>
      <c r="D14" s="1118"/>
      <c r="E14" s="1091"/>
      <c r="F14" s="1091"/>
      <c r="G14" s="784" t="s">
        <v>20</v>
      </c>
      <c r="H14" s="784" t="s">
        <v>21</v>
      </c>
      <c r="I14" s="784" t="s">
        <v>22</v>
      </c>
      <c r="J14" s="784" t="s">
        <v>23</v>
      </c>
      <c r="K14" s="784" t="s">
        <v>24</v>
      </c>
      <c r="L14" s="784" t="s">
        <v>25</v>
      </c>
      <c r="M14" s="784" t="s">
        <v>1186</v>
      </c>
      <c r="N14" s="784" t="s">
        <v>54</v>
      </c>
      <c r="O14" s="784" t="s">
        <v>26</v>
      </c>
      <c r="P14" s="784" t="s">
        <v>29</v>
      </c>
      <c r="Q14" s="784" t="s">
        <v>30</v>
      </c>
      <c r="R14" s="784" t="s">
        <v>31</v>
      </c>
      <c r="S14" s="784" t="s">
        <v>32</v>
      </c>
      <c r="T14" s="784" t="s">
        <v>33</v>
      </c>
      <c r="U14" s="784" t="s">
        <v>34</v>
      </c>
      <c r="V14" s="784" t="s">
        <v>35</v>
      </c>
      <c r="W14" s="784" t="s">
        <v>36</v>
      </c>
      <c r="X14" s="784" t="s">
        <v>37</v>
      </c>
      <c r="Y14" s="784" t="s">
        <v>38</v>
      </c>
      <c r="Z14" s="784" t="s">
        <v>39</v>
      </c>
      <c r="AA14" s="784" t="s">
        <v>40</v>
      </c>
      <c r="AB14" s="784" t="s">
        <v>41</v>
      </c>
    </row>
    <row r="15" spans="1:29" s="794" customFormat="1" ht="72" customHeight="1">
      <c r="A15" s="785" t="s">
        <v>42</v>
      </c>
      <c r="B15" s="786" t="s">
        <v>43</v>
      </c>
      <c r="C15" s="787">
        <v>1</v>
      </c>
      <c r="D15" s="788">
        <f>SUM(D16:D16)</f>
        <v>1</v>
      </c>
      <c r="E15" s="789" t="s">
        <v>44</v>
      </c>
      <c r="F15" s="790">
        <v>1</v>
      </c>
      <c r="G15" s="790"/>
      <c r="H15" s="790"/>
      <c r="I15" s="790"/>
      <c r="J15" s="790"/>
      <c r="K15" s="790"/>
      <c r="L15" s="790"/>
      <c r="M15" s="790"/>
      <c r="N15" s="790"/>
      <c r="O15" s="790"/>
      <c r="P15" s="791"/>
      <c r="Q15" s="791"/>
      <c r="R15" s="791"/>
      <c r="S15" s="791"/>
      <c r="T15" s="791"/>
      <c r="U15" s="791"/>
      <c r="V15" s="791"/>
      <c r="W15" s="791"/>
      <c r="X15" s="791"/>
      <c r="Y15" s="791"/>
      <c r="Z15" s="791"/>
      <c r="AA15" s="791"/>
      <c r="AB15" s="792"/>
      <c r="AC15" s="793">
        <f t="shared" ref="AC15" si="0">F15-SUM(G15:AB15)</f>
        <v>1</v>
      </c>
    </row>
    <row r="16" spans="1:29" ht="141" customHeight="1">
      <c r="A16" s="795" t="s">
        <v>45</v>
      </c>
      <c r="B16" s="796" t="s">
        <v>46</v>
      </c>
      <c r="C16" s="797">
        <v>1</v>
      </c>
      <c r="D16" s="798">
        <v>1</v>
      </c>
      <c r="E16" s="799" t="s">
        <v>47</v>
      </c>
      <c r="F16" s="800">
        <f>+'Presupuesto Convenio '!G32+'Presupuesto Convenio '!G34+'Presupuesto Convenio '!G36+'Presupuesto Convenio '!G38+'Presupuesto Convenio '!G40+'Presupuesto Convenio '!G42+'Presupuesto Convenio '!G44+'Presupuesto Convenio '!G46</f>
        <v>30</v>
      </c>
      <c r="G16" s="800"/>
      <c r="H16" s="800"/>
      <c r="I16" s="800"/>
      <c r="J16" s="800">
        <f>$F$16-(SUM(K16:O16))</f>
        <v>3</v>
      </c>
      <c r="K16" s="800">
        <f>INT($F$16*0.2)</f>
        <v>6</v>
      </c>
      <c r="L16" s="800">
        <f t="shared" ref="L16:N16" si="1">INT($F$16*0.2)</f>
        <v>6</v>
      </c>
      <c r="M16" s="800">
        <f t="shared" si="1"/>
        <v>6</v>
      </c>
      <c r="N16" s="800">
        <f t="shared" si="1"/>
        <v>6</v>
      </c>
      <c r="O16" s="800">
        <f>INT($F$16*0.1)</f>
        <v>3</v>
      </c>
      <c r="P16" s="800" t="e">
        <f>+#REF!</f>
        <v>#REF!</v>
      </c>
      <c r="Q16" s="800" t="e">
        <f>+#REF!</f>
        <v>#REF!</v>
      </c>
      <c r="R16" s="800" t="e">
        <f>+#REF!</f>
        <v>#REF!</v>
      </c>
      <c r="S16" s="800" t="e">
        <f>+#REF!</f>
        <v>#REF!</v>
      </c>
      <c r="T16" s="800" t="e">
        <f>+#REF!</f>
        <v>#REF!</v>
      </c>
      <c r="U16" s="800" t="e">
        <f>+#REF!</f>
        <v>#REF!</v>
      </c>
      <c r="V16" s="800" t="e">
        <f>+#REF!</f>
        <v>#REF!</v>
      </c>
      <c r="W16" s="800" t="e">
        <f>+#REF!</f>
        <v>#REF!</v>
      </c>
      <c r="X16" s="800" t="e">
        <f>+#REF!</f>
        <v>#REF!</v>
      </c>
      <c r="Y16" s="800" t="e">
        <f>+#REF!</f>
        <v>#REF!</v>
      </c>
      <c r="Z16" s="800" t="e">
        <f>+#REF!</f>
        <v>#REF!</v>
      </c>
      <c r="AA16" s="800" t="e">
        <f>+#REF!</f>
        <v>#REF!</v>
      </c>
      <c r="AB16" s="800" t="e">
        <f>+#REF!</f>
        <v>#REF!</v>
      </c>
      <c r="AC16" s="793">
        <f>+F16-SUM(G16:L16)</f>
        <v>15</v>
      </c>
    </row>
    <row r="17" spans="1:31" ht="27.75" customHeight="1">
      <c r="A17" s="801" t="s">
        <v>48</v>
      </c>
      <c r="B17" s="856"/>
      <c r="C17" s="856"/>
      <c r="D17" s="856"/>
      <c r="E17" s="858"/>
      <c r="F17" s="857"/>
      <c r="G17" s="852">
        <f>IF(ISERROR((G$15/$F$15)*$C$15),0,(G$15/$F$15)*$C$15)+IF(ISERROR((G$16/$F$16)*$C$16),0,(G$16/$F$16)*$C$16)</f>
        <v>0</v>
      </c>
      <c r="H17" s="802">
        <f t="shared" ref="H17:O17" si="2">IF(ISERROR((H$15/$F$15)*$C$15),0,(H$15/$F$15)*$C$15)+IF(ISERROR((H$16/$F$16)*$C$16),0,(H$16/$F$16)*$C$16)</f>
        <v>0</v>
      </c>
      <c r="I17" s="802">
        <f t="shared" si="2"/>
        <v>0</v>
      </c>
      <c r="J17" s="802">
        <f t="shared" si="2"/>
        <v>0.1</v>
      </c>
      <c r="K17" s="802">
        <f t="shared" si="2"/>
        <v>0.2</v>
      </c>
      <c r="L17" s="802">
        <f t="shared" si="2"/>
        <v>0.2</v>
      </c>
      <c r="M17" s="802">
        <f t="shared" si="2"/>
        <v>0.2</v>
      </c>
      <c r="N17" s="802">
        <f t="shared" si="2"/>
        <v>0.2</v>
      </c>
      <c r="O17" s="802">
        <f t="shared" si="2"/>
        <v>0.1</v>
      </c>
      <c r="P17" s="802">
        <f>IFERROR(((#REF!/#REF!)*#REF!),0)</f>
        <v>0</v>
      </c>
      <c r="Q17" s="802">
        <f>IFERROR(((#REF!/#REF!)*#REF!),0)</f>
        <v>0</v>
      </c>
      <c r="R17" s="802">
        <f>IFERROR(((#REF!/#REF!)*#REF!),0)</f>
        <v>0</v>
      </c>
      <c r="S17" s="802">
        <f>IFERROR(((#REF!/#REF!)*#REF!),0)</f>
        <v>0</v>
      </c>
      <c r="T17" s="802">
        <f>IFERROR(((#REF!/#REF!)*#REF!),0)</f>
        <v>0</v>
      </c>
      <c r="U17" s="802">
        <f>IFERROR(((#REF!/#REF!)*#REF!),0)</f>
        <v>0</v>
      </c>
      <c r="V17" s="802">
        <f>IFERROR(((#REF!/#REF!)*#REF!),0)</f>
        <v>0</v>
      </c>
      <c r="W17" s="802">
        <f>IFERROR(((#REF!/#REF!)*#REF!),0)</f>
        <v>0</v>
      </c>
      <c r="X17" s="802">
        <f>IFERROR(((#REF!/#REF!)*#REF!),0)</f>
        <v>0</v>
      </c>
      <c r="Y17" s="802">
        <f>IFERROR(((#REF!/#REF!)*#REF!),0)</f>
        <v>0</v>
      </c>
      <c r="Z17" s="802">
        <f>IFERROR(((#REF!/#REF!)*#REF!),0)</f>
        <v>0</v>
      </c>
      <c r="AA17" s="802">
        <f>IFERROR(((#REF!/#REF!)*#REF!),0)</f>
        <v>0</v>
      </c>
      <c r="AB17" s="802">
        <f>IFERROR(((#REF!/#REF!)*#REF!),0)</f>
        <v>0</v>
      </c>
    </row>
    <row r="18" spans="1:31" ht="18" customHeight="1" thickBot="1">
      <c r="A18" s="803" t="s">
        <v>49</v>
      </c>
      <c r="B18" s="859"/>
      <c r="C18" s="859"/>
      <c r="D18" s="859"/>
      <c r="E18" s="853"/>
      <c r="F18" s="854"/>
      <c r="G18" s="855">
        <f>+H17</f>
        <v>0</v>
      </c>
      <c r="H18" s="804">
        <f>G18+H17</f>
        <v>0</v>
      </c>
      <c r="I18" s="804">
        <f>H18+I17</f>
        <v>0</v>
      </c>
      <c r="J18" s="804">
        <f>I18+J17</f>
        <v>0.1</v>
      </c>
      <c r="K18" s="804">
        <f>J18+K17</f>
        <v>0.30000000000000004</v>
      </c>
      <c r="L18" s="804">
        <f>K18+L17</f>
        <v>0.5</v>
      </c>
      <c r="M18" s="804">
        <f t="shared" ref="M18:AB18" si="3">M17+L18</f>
        <v>0.7</v>
      </c>
      <c r="N18" s="804">
        <f t="shared" si="3"/>
        <v>0.89999999999999991</v>
      </c>
      <c r="O18" s="804">
        <f t="shared" si="3"/>
        <v>0.99999999999999989</v>
      </c>
      <c r="P18" s="804">
        <f t="shared" si="3"/>
        <v>0.99999999999999989</v>
      </c>
      <c r="Q18" s="804">
        <f t="shared" si="3"/>
        <v>0.99999999999999989</v>
      </c>
      <c r="R18" s="804">
        <f t="shared" si="3"/>
        <v>0.99999999999999989</v>
      </c>
      <c r="S18" s="804">
        <f t="shared" si="3"/>
        <v>0.99999999999999989</v>
      </c>
      <c r="T18" s="804">
        <f t="shared" si="3"/>
        <v>0.99999999999999989</v>
      </c>
      <c r="U18" s="804">
        <f t="shared" si="3"/>
        <v>0.99999999999999989</v>
      </c>
      <c r="V18" s="804">
        <f t="shared" si="3"/>
        <v>0.99999999999999989</v>
      </c>
      <c r="W18" s="804">
        <f t="shared" si="3"/>
        <v>0.99999999999999989</v>
      </c>
      <c r="X18" s="804">
        <f t="shared" si="3"/>
        <v>0.99999999999999989</v>
      </c>
      <c r="Y18" s="804">
        <f t="shared" si="3"/>
        <v>0.99999999999999989</v>
      </c>
      <c r="Z18" s="804">
        <f t="shared" si="3"/>
        <v>0.99999999999999989</v>
      </c>
      <c r="AA18" s="804">
        <f t="shared" si="3"/>
        <v>0.99999999999999989</v>
      </c>
      <c r="AB18" s="804">
        <f t="shared" si="3"/>
        <v>0.99999999999999989</v>
      </c>
    </row>
    <row r="19" spans="1:31" ht="18" customHeight="1" thickBot="1">
      <c r="A19" s="781"/>
      <c r="B19" s="781"/>
      <c r="C19" s="781"/>
      <c r="D19" s="782"/>
      <c r="E19" s="781"/>
      <c r="F19" s="781"/>
      <c r="G19" s="805"/>
      <c r="H19" s="805"/>
      <c r="I19" s="805"/>
      <c r="J19" s="805"/>
      <c r="K19" s="805"/>
      <c r="L19" s="805"/>
      <c r="M19" s="805"/>
      <c r="N19" s="805"/>
      <c r="O19" s="805"/>
      <c r="P19" s="805"/>
      <c r="Q19" s="805"/>
      <c r="R19" s="805"/>
      <c r="S19" s="805"/>
      <c r="T19" s="805"/>
      <c r="U19" s="805"/>
      <c r="V19" s="805"/>
      <c r="W19" s="805"/>
      <c r="X19" s="805"/>
      <c r="Y19" s="805"/>
      <c r="Z19" s="805"/>
      <c r="AA19" s="805"/>
      <c r="AB19" s="805"/>
    </row>
    <row r="20" spans="1:31" ht="18" customHeight="1">
      <c r="E20" s="1086" t="s">
        <v>50</v>
      </c>
      <c r="F20" s="1087"/>
      <c r="G20" s="1087"/>
      <c r="H20" s="1087"/>
      <c r="I20" s="1087"/>
      <c r="J20" s="1087"/>
      <c r="K20" s="1087"/>
      <c r="L20" s="1087"/>
      <c r="M20" s="1087"/>
      <c r="N20" s="1087"/>
      <c r="O20" s="1087"/>
      <c r="P20" s="1088"/>
      <c r="Q20" s="1088"/>
      <c r="R20" s="1088"/>
      <c r="S20" s="1088"/>
      <c r="T20" s="1088"/>
      <c r="U20" s="1088"/>
      <c r="V20" s="1088"/>
      <c r="W20" s="1088"/>
      <c r="X20" s="1088"/>
      <c r="Y20" s="1088"/>
      <c r="Z20" s="1088"/>
      <c r="AA20" s="1088"/>
      <c r="AB20" s="1089"/>
    </row>
    <row r="21" spans="1:31" ht="18" customHeight="1">
      <c r="E21" s="1090" t="s">
        <v>51</v>
      </c>
      <c r="F21" s="1091" t="s">
        <v>52</v>
      </c>
      <c r="G21" s="1091" t="s">
        <v>53</v>
      </c>
      <c r="H21" s="1091"/>
      <c r="I21" s="1091"/>
      <c r="J21" s="1091"/>
      <c r="K21" s="1091"/>
      <c r="L21" s="1091"/>
      <c r="M21" s="1091"/>
      <c r="N21" s="1091"/>
      <c r="O21" s="1091"/>
      <c r="P21" s="1073"/>
      <c r="Q21" s="1073"/>
      <c r="R21" s="1073"/>
      <c r="S21" s="1073"/>
      <c r="T21" s="1073"/>
      <c r="U21" s="1073"/>
      <c r="V21" s="1073"/>
      <c r="W21" s="1073"/>
      <c r="X21" s="1073"/>
      <c r="Y21" s="1073"/>
      <c r="Z21" s="1073"/>
      <c r="AA21" s="1073"/>
      <c r="AB21" s="1092"/>
    </row>
    <row r="22" spans="1:31" ht="18" customHeight="1">
      <c r="E22" s="1090"/>
      <c r="F22" s="1091"/>
      <c r="G22" s="784" t="s">
        <v>20</v>
      </c>
      <c r="H22" s="784" t="s">
        <v>21</v>
      </c>
      <c r="I22" s="784" t="s">
        <v>22</v>
      </c>
      <c r="J22" s="784" t="s">
        <v>23</v>
      </c>
      <c r="K22" s="784" t="s">
        <v>24</v>
      </c>
      <c r="L22" s="784" t="s">
        <v>25</v>
      </c>
      <c r="M22" s="784" t="s">
        <v>1186</v>
      </c>
      <c r="N22" s="784" t="s">
        <v>54</v>
      </c>
      <c r="O22" s="784" t="s">
        <v>26</v>
      </c>
      <c r="P22" s="784" t="s">
        <v>29</v>
      </c>
      <c r="Q22" s="784" t="s">
        <v>30</v>
      </c>
      <c r="R22" s="784" t="s">
        <v>31</v>
      </c>
      <c r="S22" s="784" t="s">
        <v>32</v>
      </c>
      <c r="T22" s="784" t="s">
        <v>33</v>
      </c>
      <c r="U22" s="784" t="s">
        <v>34</v>
      </c>
      <c r="V22" s="784" t="s">
        <v>35</v>
      </c>
      <c r="W22" s="784" t="s">
        <v>36</v>
      </c>
      <c r="X22" s="784" t="s">
        <v>37</v>
      </c>
      <c r="Y22" s="784" t="s">
        <v>38</v>
      </c>
      <c r="Z22" s="784" t="s">
        <v>39</v>
      </c>
      <c r="AA22" s="784" t="s">
        <v>40</v>
      </c>
      <c r="AB22" s="808" t="s">
        <v>41</v>
      </c>
    </row>
    <row r="23" spans="1:31" ht="21" customHeight="1">
      <c r="E23" s="809">
        <f>+'Presupuesto Convenio '!I111</f>
        <v>365338958.2459271</v>
      </c>
      <c r="F23" s="810">
        <f>+'Presupuesto Convenio '!F137</f>
        <v>328805062.42133439</v>
      </c>
      <c r="G23" s="810">
        <f>+F23</f>
        <v>328805062.42133439</v>
      </c>
      <c r="H23" s="877"/>
      <c r="I23" s="811"/>
      <c r="J23" s="811"/>
      <c r="K23" s="811"/>
      <c r="L23" s="810"/>
      <c r="M23" s="811"/>
      <c r="N23" s="811"/>
      <c r="O23" s="811"/>
      <c r="P23" s="811">
        <f t="shared" ref="P23:AB23" si="4">$F$23*P24</f>
        <v>0</v>
      </c>
      <c r="Q23" s="811">
        <f t="shared" si="4"/>
        <v>0</v>
      </c>
      <c r="R23" s="811">
        <f t="shared" si="4"/>
        <v>0</v>
      </c>
      <c r="S23" s="811">
        <f t="shared" si="4"/>
        <v>0</v>
      </c>
      <c r="T23" s="811">
        <f t="shared" si="4"/>
        <v>0</v>
      </c>
      <c r="U23" s="811">
        <f t="shared" si="4"/>
        <v>0</v>
      </c>
      <c r="V23" s="811">
        <f t="shared" si="4"/>
        <v>0</v>
      </c>
      <c r="W23" s="811">
        <f t="shared" si="4"/>
        <v>0</v>
      </c>
      <c r="X23" s="811">
        <f t="shared" si="4"/>
        <v>0</v>
      </c>
      <c r="Y23" s="811">
        <f t="shared" si="4"/>
        <v>0</v>
      </c>
      <c r="Z23" s="811">
        <f t="shared" si="4"/>
        <v>0</v>
      </c>
      <c r="AA23" s="811">
        <f t="shared" si="4"/>
        <v>0</v>
      </c>
      <c r="AB23" s="812">
        <f t="shared" si="4"/>
        <v>0</v>
      </c>
      <c r="AC23" s="813"/>
      <c r="AD23" s="813"/>
      <c r="AE23" s="813"/>
    </row>
    <row r="24" spans="1:31" ht="21" customHeight="1">
      <c r="E24" s="1076" t="s">
        <v>55</v>
      </c>
      <c r="F24" s="1077"/>
      <c r="G24" s="814">
        <v>1</v>
      </c>
      <c r="H24" s="876">
        <v>0</v>
      </c>
      <c r="I24" s="876">
        <f t="shared" ref="I24:K24" si="5">IFERROR(I23/$F$23,0)</f>
        <v>0</v>
      </c>
      <c r="J24" s="876">
        <f t="shared" si="5"/>
        <v>0</v>
      </c>
      <c r="K24" s="876">
        <f t="shared" si="5"/>
        <v>0</v>
      </c>
      <c r="L24" s="814">
        <v>0</v>
      </c>
      <c r="M24" s="814">
        <v>0</v>
      </c>
      <c r="N24" s="814">
        <v>0</v>
      </c>
      <c r="O24" s="814">
        <v>0</v>
      </c>
      <c r="P24" s="814">
        <v>0</v>
      </c>
      <c r="Q24" s="814">
        <v>0</v>
      </c>
      <c r="R24" s="814">
        <v>0</v>
      </c>
      <c r="S24" s="814">
        <v>0</v>
      </c>
      <c r="T24" s="814">
        <v>0</v>
      </c>
      <c r="U24" s="814">
        <v>0</v>
      </c>
      <c r="V24" s="814">
        <v>0</v>
      </c>
      <c r="W24" s="814">
        <v>0</v>
      </c>
      <c r="X24" s="814">
        <v>0</v>
      </c>
      <c r="Y24" s="814">
        <v>0</v>
      </c>
      <c r="Z24" s="814">
        <v>0</v>
      </c>
      <c r="AA24" s="814">
        <v>0</v>
      </c>
      <c r="AB24" s="814">
        <v>0</v>
      </c>
    </row>
    <row r="25" spans="1:31" ht="21" customHeight="1">
      <c r="E25" s="1076" t="s">
        <v>56</v>
      </c>
      <c r="F25" s="1077"/>
      <c r="G25" s="814">
        <f>+G24</f>
        <v>1</v>
      </c>
      <c r="H25" s="814">
        <f>+G25+H24</f>
        <v>1</v>
      </c>
      <c r="I25" s="814">
        <f t="shared" ref="I25:L25" si="6">+H25+I24</f>
        <v>1</v>
      </c>
      <c r="J25" s="814">
        <f t="shared" si="6"/>
        <v>1</v>
      </c>
      <c r="K25" s="814">
        <f t="shared" si="6"/>
        <v>1</v>
      </c>
      <c r="L25" s="814">
        <f t="shared" si="6"/>
        <v>1</v>
      </c>
      <c r="M25" s="814">
        <f t="shared" ref="M25:AB25" si="7">+L25+M24</f>
        <v>1</v>
      </c>
      <c r="N25" s="814">
        <f t="shared" si="7"/>
        <v>1</v>
      </c>
      <c r="O25" s="814">
        <f t="shared" si="7"/>
        <v>1</v>
      </c>
      <c r="P25" s="814">
        <f t="shared" si="7"/>
        <v>1</v>
      </c>
      <c r="Q25" s="814">
        <f t="shared" si="7"/>
        <v>1</v>
      </c>
      <c r="R25" s="814">
        <f t="shared" si="7"/>
        <v>1</v>
      </c>
      <c r="S25" s="814">
        <f t="shared" si="7"/>
        <v>1</v>
      </c>
      <c r="T25" s="814">
        <f t="shared" si="7"/>
        <v>1</v>
      </c>
      <c r="U25" s="814">
        <f t="shared" si="7"/>
        <v>1</v>
      </c>
      <c r="V25" s="814">
        <f t="shared" si="7"/>
        <v>1</v>
      </c>
      <c r="W25" s="814">
        <f t="shared" si="7"/>
        <v>1</v>
      </c>
      <c r="X25" s="814">
        <f t="shared" si="7"/>
        <v>1</v>
      </c>
      <c r="Y25" s="814">
        <f t="shared" si="7"/>
        <v>1</v>
      </c>
      <c r="Z25" s="814">
        <f t="shared" si="7"/>
        <v>1</v>
      </c>
      <c r="AA25" s="814">
        <f t="shared" si="7"/>
        <v>1</v>
      </c>
      <c r="AB25" s="815">
        <f t="shared" si="7"/>
        <v>1</v>
      </c>
    </row>
    <row r="26" spans="1:31" ht="21" customHeight="1">
      <c r="E26" s="1078" t="s">
        <v>57</v>
      </c>
      <c r="F26" s="1079"/>
      <c r="G26" s="816">
        <f t="shared" ref="G26" si="8">+G23</f>
        <v>328805062.42133439</v>
      </c>
      <c r="H26" s="816">
        <f>+H23</f>
        <v>0</v>
      </c>
      <c r="I26" s="816">
        <f t="shared" ref="I26:AB26" si="9">+I23</f>
        <v>0</v>
      </c>
      <c r="J26" s="816">
        <f t="shared" si="9"/>
        <v>0</v>
      </c>
      <c r="K26" s="816">
        <f t="shared" si="9"/>
        <v>0</v>
      </c>
      <c r="L26" s="816">
        <f t="shared" si="9"/>
        <v>0</v>
      </c>
      <c r="M26" s="816">
        <f t="shared" si="9"/>
        <v>0</v>
      </c>
      <c r="N26" s="816">
        <f t="shared" si="9"/>
        <v>0</v>
      </c>
      <c r="O26" s="816">
        <f t="shared" si="9"/>
        <v>0</v>
      </c>
      <c r="P26" s="816">
        <f t="shared" si="9"/>
        <v>0</v>
      </c>
      <c r="Q26" s="816">
        <f t="shared" si="9"/>
        <v>0</v>
      </c>
      <c r="R26" s="816">
        <f t="shared" si="9"/>
        <v>0</v>
      </c>
      <c r="S26" s="816">
        <f t="shared" si="9"/>
        <v>0</v>
      </c>
      <c r="T26" s="816">
        <f t="shared" si="9"/>
        <v>0</v>
      </c>
      <c r="U26" s="816">
        <f t="shared" si="9"/>
        <v>0</v>
      </c>
      <c r="V26" s="816">
        <f t="shared" si="9"/>
        <v>0</v>
      </c>
      <c r="W26" s="816">
        <f t="shared" si="9"/>
        <v>0</v>
      </c>
      <c r="X26" s="816">
        <f t="shared" si="9"/>
        <v>0</v>
      </c>
      <c r="Y26" s="816">
        <f t="shared" si="9"/>
        <v>0</v>
      </c>
      <c r="Z26" s="816">
        <f t="shared" si="9"/>
        <v>0</v>
      </c>
      <c r="AA26" s="816">
        <f t="shared" si="9"/>
        <v>0</v>
      </c>
      <c r="AB26" s="816">
        <f t="shared" si="9"/>
        <v>0</v>
      </c>
    </row>
    <row r="27" spans="1:31" ht="21" customHeight="1">
      <c r="E27" s="1080" t="s">
        <v>58</v>
      </c>
      <c r="F27" s="1081"/>
      <c r="G27" s="817">
        <f>IFERROR(G26/$F$23,0)</f>
        <v>1</v>
      </c>
      <c r="H27" s="817">
        <f t="shared" ref="H27:AB27" si="10">IFERROR(H26/$F$23,0)</f>
        <v>0</v>
      </c>
      <c r="I27" s="817">
        <f t="shared" si="10"/>
        <v>0</v>
      </c>
      <c r="J27" s="817">
        <f t="shared" si="10"/>
        <v>0</v>
      </c>
      <c r="K27" s="817">
        <f t="shared" si="10"/>
        <v>0</v>
      </c>
      <c r="L27" s="817">
        <f t="shared" si="10"/>
        <v>0</v>
      </c>
      <c r="M27" s="817">
        <f t="shared" si="10"/>
        <v>0</v>
      </c>
      <c r="N27" s="817">
        <f t="shared" si="10"/>
        <v>0</v>
      </c>
      <c r="O27" s="817">
        <f t="shared" si="10"/>
        <v>0</v>
      </c>
      <c r="P27" s="817">
        <f t="shared" si="10"/>
        <v>0</v>
      </c>
      <c r="Q27" s="817">
        <f t="shared" si="10"/>
        <v>0</v>
      </c>
      <c r="R27" s="817">
        <f t="shared" si="10"/>
        <v>0</v>
      </c>
      <c r="S27" s="817">
        <f t="shared" si="10"/>
        <v>0</v>
      </c>
      <c r="T27" s="817">
        <f t="shared" si="10"/>
        <v>0</v>
      </c>
      <c r="U27" s="817">
        <f t="shared" si="10"/>
        <v>0</v>
      </c>
      <c r="V27" s="817">
        <f t="shared" si="10"/>
        <v>0</v>
      </c>
      <c r="W27" s="817">
        <f t="shared" si="10"/>
        <v>0</v>
      </c>
      <c r="X27" s="817">
        <f t="shared" si="10"/>
        <v>0</v>
      </c>
      <c r="Y27" s="817">
        <f t="shared" si="10"/>
        <v>0</v>
      </c>
      <c r="Z27" s="817">
        <f t="shared" si="10"/>
        <v>0</v>
      </c>
      <c r="AA27" s="817">
        <f t="shared" si="10"/>
        <v>0</v>
      </c>
      <c r="AB27" s="818">
        <f t="shared" si="10"/>
        <v>0</v>
      </c>
    </row>
    <row r="28" spans="1:31" ht="21" customHeight="1" thickBot="1">
      <c r="E28" s="1082" t="s">
        <v>59</v>
      </c>
      <c r="F28" s="1083"/>
      <c r="G28" s="819">
        <f>G27</f>
        <v>1</v>
      </c>
      <c r="H28" s="819">
        <f t="shared" ref="H28:AB28" si="11">G28+H27</f>
        <v>1</v>
      </c>
      <c r="I28" s="819">
        <f t="shared" si="11"/>
        <v>1</v>
      </c>
      <c r="J28" s="819">
        <f t="shared" si="11"/>
        <v>1</v>
      </c>
      <c r="K28" s="819">
        <f t="shared" si="11"/>
        <v>1</v>
      </c>
      <c r="L28" s="819">
        <f t="shared" si="11"/>
        <v>1</v>
      </c>
      <c r="M28" s="819">
        <f t="shared" si="11"/>
        <v>1</v>
      </c>
      <c r="N28" s="819">
        <f t="shared" si="11"/>
        <v>1</v>
      </c>
      <c r="O28" s="819">
        <f t="shared" si="11"/>
        <v>1</v>
      </c>
      <c r="P28" s="819">
        <f t="shared" si="11"/>
        <v>1</v>
      </c>
      <c r="Q28" s="819">
        <f t="shared" si="11"/>
        <v>1</v>
      </c>
      <c r="R28" s="819">
        <f t="shared" si="11"/>
        <v>1</v>
      </c>
      <c r="S28" s="819">
        <f t="shared" si="11"/>
        <v>1</v>
      </c>
      <c r="T28" s="819">
        <f t="shared" si="11"/>
        <v>1</v>
      </c>
      <c r="U28" s="819">
        <f t="shared" si="11"/>
        <v>1</v>
      </c>
      <c r="V28" s="819">
        <f t="shared" si="11"/>
        <v>1</v>
      </c>
      <c r="W28" s="819">
        <f t="shared" si="11"/>
        <v>1</v>
      </c>
      <c r="X28" s="819">
        <f t="shared" si="11"/>
        <v>1</v>
      </c>
      <c r="Y28" s="819">
        <f t="shared" si="11"/>
        <v>1</v>
      </c>
      <c r="Z28" s="819">
        <f t="shared" si="11"/>
        <v>1</v>
      </c>
      <c r="AA28" s="819">
        <f t="shared" si="11"/>
        <v>1</v>
      </c>
      <c r="AB28" s="819">
        <f t="shared" si="11"/>
        <v>1</v>
      </c>
    </row>
    <row r="29" spans="1:31" ht="21" customHeight="1" thickBot="1">
      <c r="E29" s="1084" t="s">
        <v>60</v>
      </c>
      <c r="F29" s="1085"/>
      <c r="G29" s="860">
        <f>+'Presupuesto Convenio '!I104</f>
        <v>35825362</v>
      </c>
      <c r="H29" s="821"/>
      <c r="I29" s="821"/>
      <c r="J29" s="821"/>
      <c r="K29" s="821"/>
      <c r="L29" s="821"/>
      <c r="M29" s="822"/>
      <c r="N29" s="822"/>
      <c r="O29" s="822"/>
      <c r="P29" s="822"/>
      <c r="Q29" s="822"/>
      <c r="R29" s="822"/>
      <c r="S29" s="822"/>
      <c r="T29" s="822"/>
      <c r="U29" s="822"/>
      <c r="V29" s="822"/>
      <c r="W29" s="822"/>
      <c r="X29" s="822"/>
      <c r="Y29" s="822"/>
      <c r="Z29" s="822"/>
      <c r="AA29" s="822"/>
      <c r="AB29" s="822"/>
    </row>
    <row r="30" spans="1:31" ht="21" customHeight="1" thickBot="1">
      <c r="C30" s="820"/>
      <c r="D30" s="820"/>
      <c r="E30" s="1064" t="s">
        <v>61</v>
      </c>
      <c r="F30" s="1065"/>
      <c r="G30" s="861">
        <f>+G23-G29</f>
        <v>292979700.42133439</v>
      </c>
      <c r="H30" s="861">
        <f t="shared" ref="H30:L30" si="12">+H23-H29</f>
        <v>0</v>
      </c>
      <c r="I30" s="861">
        <f t="shared" si="12"/>
        <v>0</v>
      </c>
      <c r="J30" s="861">
        <f t="shared" si="12"/>
        <v>0</v>
      </c>
      <c r="K30" s="861">
        <f t="shared" si="12"/>
        <v>0</v>
      </c>
      <c r="L30" s="861">
        <f t="shared" si="12"/>
        <v>0</v>
      </c>
      <c r="M30" s="822"/>
      <c r="N30" s="822"/>
      <c r="O30" s="822"/>
      <c r="P30" s="822"/>
      <c r="Q30" s="822"/>
      <c r="R30" s="822"/>
      <c r="S30" s="822"/>
      <c r="T30" s="822"/>
      <c r="U30" s="822"/>
      <c r="V30" s="822"/>
      <c r="W30" s="822"/>
      <c r="X30" s="822"/>
      <c r="Y30" s="822"/>
      <c r="Z30" s="822"/>
      <c r="AA30" s="822"/>
      <c r="AB30" s="822"/>
    </row>
    <row r="31" spans="1:31" ht="21" customHeight="1">
      <c r="C31" s="820"/>
      <c r="D31" s="820"/>
    </row>
    <row r="32" spans="1:31" ht="18" hidden="1" customHeight="1" thickBot="1">
      <c r="E32" s="823"/>
      <c r="F32" s="823"/>
      <c r="G32" s="806"/>
      <c r="H32" s="806"/>
      <c r="I32" s="806"/>
      <c r="J32" s="806"/>
      <c r="K32" s="806"/>
      <c r="L32" s="806"/>
      <c r="M32" s="806"/>
      <c r="N32" s="806"/>
      <c r="O32" s="806"/>
      <c r="P32" s="806"/>
      <c r="Q32" s="806"/>
      <c r="R32" s="806"/>
      <c r="S32" s="806"/>
      <c r="T32" s="806"/>
      <c r="U32" s="806"/>
      <c r="V32" s="806"/>
      <c r="W32" s="806"/>
      <c r="X32" s="806"/>
      <c r="Y32" s="806"/>
      <c r="Z32" s="806"/>
      <c r="AA32" s="806"/>
      <c r="AB32" s="806"/>
    </row>
    <row r="33" spans="3:30" ht="20.100000000000001" hidden="1" customHeight="1">
      <c r="C33" s="1066" t="s">
        <v>62</v>
      </c>
      <c r="D33" s="1067"/>
      <c r="E33" s="1067"/>
      <c r="F33" s="1067"/>
      <c r="G33" s="1067"/>
      <c r="H33" s="1067"/>
      <c r="I33" s="1067"/>
      <c r="J33" s="1067"/>
      <c r="K33" s="1067"/>
      <c r="L33" s="1067"/>
      <c r="M33" s="1067"/>
      <c r="N33" s="1067"/>
      <c r="O33" s="1067"/>
      <c r="P33" s="1067"/>
      <c r="Q33" s="1067"/>
      <c r="R33" s="1067"/>
      <c r="S33" s="1067"/>
      <c r="T33" s="1067"/>
      <c r="U33" s="1067"/>
      <c r="V33" s="1067"/>
      <c r="W33" s="1067"/>
      <c r="X33" s="1067"/>
      <c r="Y33" s="1067"/>
      <c r="Z33" s="1067"/>
      <c r="AA33" s="1067"/>
      <c r="AB33" s="1067"/>
      <c r="AC33" s="1068"/>
    </row>
    <row r="34" spans="3:30" ht="20.100000000000001" hidden="1" customHeight="1">
      <c r="C34" s="1069" t="s">
        <v>63</v>
      </c>
      <c r="D34" s="1070" t="s">
        <v>64</v>
      </c>
      <c r="E34" s="1072" t="s">
        <v>65</v>
      </c>
      <c r="F34" s="1073" t="s">
        <v>53</v>
      </c>
      <c r="G34" s="1074"/>
      <c r="H34" s="1074"/>
      <c r="I34" s="1074"/>
      <c r="J34" s="1074"/>
      <c r="K34" s="1074"/>
      <c r="L34" s="1074"/>
      <c r="M34" s="1074"/>
      <c r="N34" s="1074"/>
      <c r="O34" s="1074"/>
      <c r="P34" s="1074"/>
      <c r="Q34" s="1074"/>
      <c r="R34" s="1074"/>
      <c r="S34" s="1074"/>
      <c r="T34" s="1074"/>
      <c r="U34" s="1074"/>
      <c r="V34" s="1074"/>
      <c r="W34" s="1074"/>
      <c r="X34" s="1074"/>
      <c r="Y34" s="1074"/>
      <c r="Z34" s="1074"/>
      <c r="AA34" s="1074"/>
      <c r="AB34" s="1074"/>
      <c r="AC34" s="1075"/>
    </row>
    <row r="35" spans="3:30" ht="45.75" hidden="1" customHeight="1">
      <c r="C35" s="1069"/>
      <c r="D35" s="1071"/>
      <c r="E35" s="1072"/>
      <c r="F35" s="824"/>
      <c r="G35" s="784" t="s">
        <v>20</v>
      </c>
      <c r="H35" s="784" t="s">
        <v>21</v>
      </c>
      <c r="I35" s="784" t="s">
        <v>22</v>
      </c>
      <c r="J35" s="784" t="s">
        <v>23</v>
      </c>
      <c r="K35" s="784" t="s">
        <v>24</v>
      </c>
      <c r="L35" s="784" t="s">
        <v>54</v>
      </c>
      <c r="M35" s="784" t="s">
        <v>26</v>
      </c>
      <c r="N35" s="784" t="s">
        <v>27</v>
      </c>
      <c r="O35" s="784" t="s">
        <v>28</v>
      </c>
      <c r="P35" s="784" t="s">
        <v>29</v>
      </c>
      <c r="Q35" s="784" t="s">
        <v>30</v>
      </c>
      <c r="R35" s="784" t="s">
        <v>31</v>
      </c>
      <c r="S35" s="784" t="s">
        <v>32</v>
      </c>
      <c r="T35" s="784" t="s">
        <v>33</v>
      </c>
      <c r="U35" s="784" t="s">
        <v>34</v>
      </c>
      <c r="V35" s="784" t="s">
        <v>35</v>
      </c>
      <c r="W35" s="784" t="s">
        <v>36</v>
      </c>
      <c r="X35" s="784" t="s">
        <v>37</v>
      </c>
      <c r="Y35" s="784" t="s">
        <v>38</v>
      </c>
      <c r="Z35" s="784" t="s">
        <v>39</v>
      </c>
      <c r="AA35" s="784" t="s">
        <v>40</v>
      </c>
      <c r="AB35" s="784" t="s">
        <v>41</v>
      </c>
      <c r="AC35" s="808" t="s">
        <v>66</v>
      </c>
    </row>
    <row r="36" spans="3:30" ht="26.25" hidden="1" customHeight="1">
      <c r="C36" s="1058"/>
      <c r="D36" s="1059"/>
      <c r="E36" s="1059"/>
      <c r="F36" s="825" t="s">
        <v>57</v>
      </c>
      <c r="G36" s="826"/>
      <c r="H36" s="826"/>
      <c r="I36" s="826"/>
      <c r="J36" s="826"/>
      <c r="K36" s="826"/>
      <c r="L36" s="826"/>
      <c r="M36" s="826">
        <f t="shared" ref="M36:AB36" si="13">M26</f>
        <v>0</v>
      </c>
      <c r="N36" s="826">
        <f t="shared" si="13"/>
        <v>0</v>
      </c>
      <c r="O36" s="826">
        <f t="shared" si="13"/>
        <v>0</v>
      </c>
      <c r="P36" s="826">
        <f t="shared" si="13"/>
        <v>0</v>
      </c>
      <c r="Q36" s="826">
        <f t="shared" si="13"/>
        <v>0</v>
      </c>
      <c r="R36" s="826">
        <f t="shared" si="13"/>
        <v>0</v>
      </c>
      <c r="S36" s="826">
        <f t="shared" si="13"/>
        <v>0</v>
      </c>
      <c r="T36" s="826">
        <f t="shared" si="13"/>
        <v>0</v>
      </c>
      <c r="U36" s="826">
        <f t="shared" si="13"/>
        <v>0</v>
      </c>
      <c r="V36" s="826">
        <f t="shared" si="13"/>
        <v>0</v>
      </c>
      <c r="W36" s="826">
        <f t="shared" si="13"/>
        <v>0</v>
      </c>
      <c r="X36" s="826">
        <f t="shared" si="13"/>
        <v>0</v>
      </c>
      <c r="Y36" s="826">
        <f t="shared" si="13"/>
        <v>0</v>
      </c>
      <c r="Z36" s="826">
        <f t="shared" si="13"/>
        <v>0</v>
      </c>
      <c r="AA36" s="826">
        <f t="shared" si="13"/>
        <v>0</v>
      </c>
      <c r="AB36" s="826">
        <f t="shared" si="13"/>
        <v>0</v>
      </c>
      <c r="AC36" s="827">
        <f>SUM(G36:AB36)</f>
        <v>0</v>
      </c>
    </row>
    <row r="37" spans="3:30" ht="18" hidden="1" customHeight="1">
      <c r="C37" s="1058"/>
      <c r="D37" s="1059"/>
      <c r="E37" s="1059"/>
      <c r="F37" s="828" t="s">
        <v>55</v>
      </c>
      <c r="G37" s="829">
        <f t="shared" ref="G37:AB37" si="14">IFERROR(G36/$E$36,0)</f>
        <v>0</v>
      </c>
      <c r="H37" s="829">
        <f t="shared" si="14"/>
        <v>0</v>
      </c>
      <c r="I37" s="829">
        <f t="shared" si="14"/>
        <v>0</v>
      </c>
      <c r="J37" s="829">
        <f t="shared" si="14"/>
        <v>0</v>
      </c>
      <c r="K37" s="829">
        <f t="shared" si="14"/>
        <v>0</v>
      </c>
      <c r="L37" s="829">
        <f t="shared" si="14"/>
        <v>0</v>
      </c>
      <c r="M37" s="829">
        <f t="shared" si="14"/>
        <v>0</v>
      </c>
      <c r="N37" s="829">
        <f t="shared" si="14"/>
        <v>0</v>
      </c>
      <c r="O37" s="829">
        <f t="shared" si="14"/>
        <v>0</v>
      </c>
      <c r="P37" s="829">
        <f t="shared" si="14"/>
        <v>0</v>
      </c>
      <c r="Q37" s="829">
        <f t="shared" si="14"/>
        <v>0</v>
      </c>
      <c r="R37" s="829">
        <f t="shared" si="14"/>
        <v>0</v>
      </c>
      <c r="S37" s="829">
        <f t="shared" si="14"/>
        <v>0</v>
      </c>
      <c r="T37" s="829">
        <f t="shared" si="14"/>
        <v>0</v>
      </c>
      <c r="U37" s="829">
        <f t="shared" si="14"/>
        <v>0</v>
      </c>
      <c r="V37" s="829">
        <f t="shared" si="14"/>
        <v>0</v>
      </c>
      <c r="W37" s="829">
        <f t="shared" si="14"/>
        <v>0</v>
      </c>
      <c r="X37" s="829">
        <f t="shared" si="14"/>
        <v>0</v>
      </c>
      <c r="Y37" s="829">
        <f t="shared" si="14"/>
        <v>0</v>
      </c>
      <c r="Z37" s="829">
        <f t="shared" si="14"/>
        <v>0</v>
      </c>
      <c r="AA37" s="829">
        <f t="shared" si="14"/>
        <v>0</v>
      </c>
      <c r="AB37" s="829">
        <f t="shared" si="14"/>
        <v>0</v>
      </c>
      <c r="AC37" s="830"/>
    </row>
    <row r="38" spans="3:30" ht="27.75" hidden="1" customHeight="1">
      <c r="C38" s="1058"/>
      <c r="D38" s="1059"/>
      <c r="E38" s="1059"/>
      <c r="F38" s="831" t="s">
        <v>56</v>
      </c>
      <c r="G38" s="817">
        <f>+G37</f>
        <v>0</v>
      </c>
      <c r="H38" s="817">
        <f t="shared" ref="H38:AB38" si="15">+G38+H37</f>
        <v>0</v>
      </c>
      <c r="I38" s="817">
        <f t="shared" si="15"/>
        <v>0</v>
      </c>
      <c r="J38" s="817">
        <f t="shared" si="15"/>
        <v>0</v>
      </c>
      <c r="K38" s="817">
        <f t="shared" si="15"/>
        <v>0</v>
      </c>
      <c r="L38" s="817">
        <f t="shared" si="15"/>
        <v>0</v>
      </c>
      <c r="M38" s="817">
        <f t="shared" si="15"/>
        <v>0</v>
      </c>
      <c r="N38" s="817">
        <f t="shared" si="15"/>
        <v>0</v>
      </c>
      <c r="O38" s="817">
        <f t="shared" si="15"/>
        <v>0</v>
      </c>
      <c r="P38" s="817">
        <f t="shared" si="15"/>
        <v>0</v>
      </c>
      <c r="Q38" s="817">
        <f t="shared" si="15"/>
        <v>0</v>
      </c>
      <c r="R38" s="817">
        <f t="shared" si="15"/>
        <v>0</v>
      </c>
      <c r="S38" s="817">
        <f t="shared" si="15"/>
        <v>0</v>
      </c>
      <c r="T38" s="817">
        <f t="shared" si="15"/>
        <v>0</v>
      </c>
      <c r="U38" s="817">
        <f t="shared" si="15"/>
        <v>0</v>
      </c>
      <c r="V38" s="817">
        <f t="shared" si="15"/>
        <v>0</v>
      </c>
      <c r="W38" s="817">
        <f t="shared" si="15"/>
        <v>0</v>
      </c>
      <c r="X38" s="817">
        <f t="shared" si="15"/>
        <v>0</v>
      </c>
      <c r="Y38" s="817">
        <f t="shared" si="15"/>
        <v>0</v>
      </c>
      <c r="Z38" s="817">
        <f t="shared" si="15"/>
        <v>0</v>
      </c>
      <c r="AA38" s="817">
        <f t="shared" si="15"/>
        <v>0</v>
      </c>
      <c r="AB38" s="817">
        <f t="shared" si="15"/>
        <v>0</v>
      </c>
      <c r="AC38" s="830"/>
    </row>
    <row r="39" spans="3:30" ht="28.5" hidden="1" customHeight="1">
      <c r="C39" s="1058"/>
      <c r="D39" s="1059"/>
      <c r="E39" s="1059"/>
      <c r="F39" s="825" t="s">
        <v>67</v>
      </c>
      <c r="G39" s="816"/>
      <c r="H39" s="816"/>
      <c r="I39" s="816"/>
      <c r="J39" s="816"/>
      <c r="K39" s="816"/>
      <c r="L39" s="816"/>
      <c r="M39" s="816"/>
      <c r="N39" s="816"/>
      <c r="O39" s="816"/>
      <c r="P39" s="816"/>
      <c r="Q39" s="816"/>
      <c r="R39" s="816"/>
      <c r="S39" s="816"/>
      <c r="T39" s="816"/>
      <c r="U39" s="816"/>
      <c r="V39" s="816"/>
      <c r="W39" s="816"/>
      <c r="X39" s="816"/>
      <c r="Y39" s="816"/>
      <c r="Z39" s="816"/>
      <c r="AA39" s="816"/>
      <c r="AB39" s="816"/>
      <c r="AC39" s="827">
        <f>SUM(G39:AB39)</f>
        <v>0</v>
      </c>
    </row>
    <row r="40" spans="3:30" ht="18" hidden="1" customHeight="1">
      <c r="C40" s="1058"/>
      <c r="D40" s="1059"/>
      <c r="E40" s="1059"/>
      <c r="F40" s="828" t="s">
        <v>55</v>
      </c>
      <c r="G40" s="829">
        <f t="shared" ref="G40:AB40" si="16">IFERROR(G39/$E$36,0)</f>
        <v>0</v>
      </c>
      <c r="H40" s="829">
        <f t="shared" si="16"/>
        <v>0</v>
      </c>
      <c r="I40" s="829">
        <f t="shared" si="16"/>
        <v>0</v>
      </c>
      <c r="J40" s="829">
        <f t="shared" si="16"/>
        <v>0</v>
      </c>
      <c r="K40" s="829">
        <f t="shared" si="16"/>
        <v>0</v>
      </c>
      <c r="L40" s="829">
        <f t="shared" si="16"/>
        <v>0</v>
      </c>
      <c r="M40" s="829">
        <f t="shared" si="16"/>
        <v>0</v>
      </c>
      <c r="N40" s="829">
        <f t="shared" si="16"/>
        <v>0</v>
      </c>
      <c r="O40" s="829">
        <f t="shared" si="16"/>
        <v>0</v>
      </c>
      <c r="P40" s="829">
        <f t="shared" si="16"/>
        <v>0</v>
      </c>
      <c r="Q40" s="829">
        <f t="shared" si="16"/>
        <v>0</v>
      </c>
      <c r="R40" s="829">
        <f t="shared" si="16"/>
        <v>0</v>
      </c>
      <c r="S40" s="829">
        <f t="shared" si="16"/>
        <v>0</v>
      </c>
      <c r="T40" s="829">
        <f t="shared" si="16"/>
        <v>0</v>
      </c>
      <c r="U40" s="829">
        <f t="shared" si="16"/>
        <v>0</v>
      </c>
      <c r="V40" s="829">
        <f t="shared" si="16"/>
        <v>0</v>
      </c>
      <c r="W40" s="829">
        <f t="shared" si="16"/>
        <v>0</v>
      </c>
      <c r="X40" s="829">
        <f t="shared" si="16"/>
        <v>0</v>
      </c>
      <c r="Y40" s="829">
        <f t="shared" si="16"/>
        <v>0</v>
      </c>
      <c r="Z40" s="829">
        <f t="shared" si="16"/>
        <v>0</v>
      </c>
      <c r="AA40" s="829">
        <f t="shared" si="16"/>
        <v>0</v>
      </c>
      <c r="AB40" s="829">
        <f t="shared" si="16"/>
        <v>0</v>
      </c>
      <c r="AC40" s="830"/>
    </row>
    <row r="41" spans="3:30" ht="26.25" hidden="1" customHeight="1">
      <c r="C41" s="1058"/>
      <c r="D41" s="1059"/>
      <c r="E41" s="1059"/>
      <c r="F41" s="831" t="s">
        <v>56</v>
      </c>
      <c r="G41" s="817">
        <f>+G40</f>
        <v>0</v>
      </c>
      <c r="H41" s="817">
        <f t="shared" ref="H41:AB41" si="17">+G41+H40</f>
        <v>0</v>
      </c>
      <c r="I41" s="817">
        <f t="shared" si="17"/>
        <v>0</v>
      </c>
      <c r="J41" s="817">
        <f t="shared" si="17"/>
        <v>0</v>
      </c>
      <c r="K41" s="817">
        <f t="shared" si="17"/>
        <v>0</v>
      </c>
      <c r="L41" s="817">
        <f t="shared" si="17"/>
        <v>0</v>
      </c>
      <c r="M41" s="817">
        <f t="shared" si="17"/>
        <v>0</v>
      </c>
      <c r="N41" s="817">
        <f t="shared" si="17"/>
        <v>0</v>
      </c>
      <c r="O41" s="817">
        <f t="shared" si="17"/>
        <v>0</v>
      </c>
      <c r="P41" s="817">
        <f t="shared" si="17"/>
        <v>0</v>
      </c>
      <c r="Q41" s="817">
        <f t="shared" si="17"/>
        <v>0</v>
      </c>
      <c r="R41" s="817">
        <f t="shared" si="17"/>
        <v>0</v>
      </c>
      <c r="S41" s="817">
        <f t="shared" si="17"/>
        <v>0</v>
      </c>
      <c r="T41" s="817">
        <f t="shared" si="17"/>
        <v>0</v>
      </c>
      <c r="U41" s="817">
        <f t="shared" si="17"/>
        <v>0</v>
      </c>
      <c r="V41" s="817">
        <f t="shared" si="17"/>
        <v>0</v>
      </c>
      <c r="W41" s="817">
        <f t="shared" si="17"/>
        <v>0</v>
      </c>
      <c r="X41" s="817">
        <f t="shared" si="17"/>
        <v>0</v>
      </c>
      <c r="Y41" s="817">
        <f t="shared" si="17"/>
        <v>0</v>
      </c>
      <c r="Z41" s="817">
        <f t="shared" si="17"/>
        <v>0</v>
      </c>
      <c r="AA41" s="817">
        <f t="shared" si="17"/>
        <v>0</v>
      </c>
      <c r="AB41" s="817">
        <f t="shared" si="17"/>
        <v>0</v>
      </c>
      <c r="AC41" s="830"/>
    </row>
    <row r="42" spans="3:30" ht="18" hidden="1" customHeight="1">
      <c r="C42" s="1060" t="s">
        <v>68</v>
      </c>
      <c r="D42" s="1061"/>
      <c r="E42" s="1061"/>
      <c r="F42" s="1062"/>
      <c r="G42" s="832">
        <f t="shared" ref="G42:AB42" si="18">G38+G41</f>
        <v>0</v>
      </c>
      <c r="H42" s="832">
        <f t="shared" si="18"/>
        <v>0</v>
      </c>
      <c r="I42" s="832">
        <f t="shared" si="18"/>
        <v>0</v>
      </c>
      <c r="J42" s="832">
        <f t="shared" si="18"/>
        <v>0</v>
      </c>
      <c r="K42" s="832">
        <f t="shared" si="18"/>
        <v>0</v>
      </c>
      <c r="L42" s="832">
        <f t="shared" si="18"/>
        <v>0</v>
      </c>
      <c r="M42" s="832">
        <f t="shared" si="18"/>
        <v>0</v>
      </c>
      <c r="N42" s="832">
        <f t="shared" si="18"/>
        <v>0</v>
      </c>
      <c r="O42" s="832">
        <f t="shared" si="18"/>
        <v>0</v>
      </c>
      <c r="P42" s="832">
        <f t="shared" si="18"/>
        <v>0</v>
      </c>
      <c r="Q42" s="832">
        <f t="shared" si="18"/>
        <v>0</v>
      </c>
      <c r="R42" s="832">
        <f t="shared" si="18"/>
        <v>0</v>
      </c>
      <c r="S42" s="832">
        <f t="shared" si="18"/>
        <v>0</v>
      </c>
      <c r="T42" s="832">
        <f t="shared" si="18"/>
        <v>0</v>
      </c>
      <c r="U42" s="832">
        <f t="shared" si="18"/>
        <v>0</v>
      </c>
      <c r="V42" s="832">
        <f t="shared" si="18"/>
        <v>0</v>
      </c>
      <c r="W42" s="832">
        <f t="shared" si="18"/>
        <v>0</v>
      </c>
      <c r="X42" s="832">
        <f t="shared" si="18"/>
        <v>0</v>
      </c>
      <c r="Y42" s="832">
        <f t="shared" si="18"/>
        <v>0</v>
      </c>
      <c r="Z42" s="832">
        <f t="shared" si="18"/>
        <v>0</v>
      </c>
      <c r="AA42" s="832">
        <f t="shared" si="18"/>
        <v>0</v>
      </c>
      <c r="AB42" s="832">
        <f t="shared" si="18"/>
        <v>0</v>
      </c>
      <c r="AC42" s="833">
        <f>IFERROR((AC36+AC39)/E36,0)</f>
        <v>0</v>
      </c>
    </row>
    <row r="43" spans="3:30" ht="18" hidden="1" customHeight="1" thickBot="1">
      <c r="C43" s="834"/>
      <c r="D43" s="834"/>
      <c r="E43" s="834"/>
      <c r="F43" s="834"/>
      <c r="G43" s="832"/>
      <c r="H43" s="832"/>
      <c r="I43" s="832"/>
      <c r="J43" s="832"/>
      <c r="K43" s="832"/>
      <c r="L43" s="832"/>
      <c r="M43" s="832"/>
      <c r="N43" s="832"/>
      <c r="O43" s="832"/>
      <c r="P43" s="832"/>
      <c r="Q43" s="832"/>
      <c r="R43" s="832"/>
      <c r="S43" s="832"/>
      <c r="T43" s="832"/>
      <c r="U43" s="832"/>
      <c r="V43" s="832"/>
      <c r="W43" s="832"/>
      <c r="X43" s="832"/>
      <c r="Y43" s="832"/>
      <c r="Z43" s="832"/>
      <c r="AA43" s="832"/>
      <c r="AB43" s="832"/>
      <c r="AC43" s="835"/>
    </row>
    <row r="44" spans="3:30" ht="18" hidden="1" customHeight="1" thickBot="1">
      <c r="C44" s="836"/>
      <c r="D44" s="837"/>
      <c r="E44" s="838"/>
      <c r="F44" s="838"/>
      <c r="G44" s="839"/>
      <c r="H44" s="839"/>
      <c r="I44" s="839"/>
      <c r="J44" s="839"/>
      <c r="K44" s="839"/>
      <c r="L44" s="839"/>
      <c r="M44" s="839"/>
      <c r="N44" s="839"/>
      <c r="O44" s="839"/>
      <c r="P44" s="839"/>
      <c r="Q44" s="839"/>
      <c r="R44" s="839"/>
      <c r="S44" s="839"/>
      <c r="T44" s="839"/>
      <c r="U44" s="839"/>
      <c r="V44" s="839"/>
      <c r="W44" s="839"/>
      <c r="X44" s="839"/>
      <c r="Y44" s="839"/>
      <c r="Z44" s="839"/>
      <c r="AA44" s="839"/>
      <c r="AB44" s="839"/>
      <c r="AC44" s="840">
        <f>AC36+AC39</f>
        <v>0</v>
      </c>
      <c r="AD44" s="841">
        <f>E36-AC44</f>
        <v>0</v>
      </c>
    </row>
    <row r="45" spans="3:30" ht="18" hidden="1" customHeight="1" thickBot="1">
      <c r="C45" s="836"/>
      <c r="D45" s="837"/>
      <c r="E45" s="862"/>
      <c r="F45" s="863"/>
      <c r="G45" s="864"/>
      <c r="H45" s="864"/>
      <c r="I45" s="864"/>
      <c r="J45" s="864"/>
      <c r="K45" s="864"/>
      <c r="L45" s="864"/>
      <c r="M45" s="839"/>
      <c r="N45" s="839"/>
      <c r="O45" s="839"/>
      <c r="P45" s="839"/>
      <c r="Q45" s="839"/>
      <c r="R45" s="839"/>
      <c r="S45" s="839"/>
      <c r="T45" s="839"/>
      <c r="U45" s="839"/>
      <c r="V45" s="839"/>
      <c r="W45" s="839"/>
      <c r="X45" s="839"/>
      <c r="Y45" s="839"/>
      <c r="Z45" s="839"/>
      <c r="AA45" s="839"/>
      <c r="AB45" s="839"/>
      <c r="AC45" s="836"/>
    </row>
    <row r="46" spans="3:30" ht="55.9" customHeight="1">
      <c r="E46" s="1057" t="s">
        <v>69</v>
      </c>
      <c r="F46" s="1057"/>
      <c r="G46" s="1057"/>
      <c r="H46" s="1057"/>
      <c r="I46" s="1057"/>
      <c r="J46" s="1057"/>
      <c r="K46" s="1057"/>
      <c r="L46" s="1057"/>
      <c r="M46" s="806"/>
      <c r="N46" s="806"/>
      <c r="O46" s="806"/>
      <c r="P46" s="806"/>
      <c r="Q46" s="806"/>
      <c r="R46" s="806"/>
      <c r="S46" s="806"/>
      <c r="T46" s="806"/>
      <c r="U46" s="806"/>
      <c r="V46" s="806"/>
      <c r="W46" s="806"/>
      <c r="X46" s="806"/>
      <c r="Y46" s="806"/>
      <c r="Z46" s="806"/>
      <c r="AA46" s="806"/>
      <c r="AB46" s="806"/>
    </row>
    <row r="47" spans="3:30" ht="18" customHeight="1">
      <c r="E47" s="823"/>
      <c r="F47" s="823"/>
      <c r="G47" s="806"/>
      <c r="H47" s="806"/>
      <c r="I47" s="806"/>
      <c r="J47" s="806"/>
      <c r="K47" s="806"/>
      <c r="L47" s="806"/>
      <c r="M47" s="806"/>
      <c r="N47" s="806"/>
      <c r="O47" s="806"/>
      <c r="P47" s="806"/>
      <c r="Q47" s="806"/>
      <c r="R47" s="806"/>
      <c r="S47" s="806"/>
      <c r="T47" s="806"/>
      <c r="U47" s="806"/>
      <c r="V47" s="806"/>
      <c r="W47" s="806"/>
      <c r="X47" s="806"/>
      <c r="Y47" s="806"/>
      <c r="Z47" s="806"/>
      <c r="AA47" s="806"/>
      <c r="AB47" s="806"/>
    </row>
    <row r="49" spans="2:41" ht="18" customHeight="1">
      <c r="G49" s="842"/>
      <c r="H49" s="842"/>
      <c r="I49" s="842"/>
    </row>
    <row r="50" spans="2:41" s="846" customFormat="1" ht="18" customHeight="1">
      <c r="B50" s="1063"/>
      <c r="C50" s="1063"/>
      <c r="D50" s="843"/>
      <c r="E50" s="844"/>
      <c r="F50" s="845"/>
      <c r="H50" s="847"/>
      <c r="I50" s="844"/>
      <c r="J50" s="844"/>
      <c r="K50" s="844"/>
      <c r="L50" s="844"/>
      <c r="M50" s="844"/>
      <c r="N50" s="844"/>
      <c r="O50" s="844"/>
      <c r="P50" s="844"/>
      <c r="Q50" s="844"/>
      <c r="R50" s="844"/>
      <c r="S50" s="844"/>
      <c r="T50" s="844"/>
      <c r="U50" s="844"/>
      <c r="V50" s="844"/>
      <c r="W50" s="844"/>
      <c r="X50" s="844"/>
      <c r="Y50" s="844"/>
      <c r="Z50" s="844"/>
      <c r="AA50" s="844"/>
      <c r="AC50" s="848"/>
      <c r="AD50" s="848"/>
      <c r="AE50" s="848"/>
      <c r="AF50" s="848"/>
      <c r="AG50" s="1054"/>
      <c r="AH50" s="1054"/>
      <c r="AI50" s="1054"/>
      <c r="AJ50" s="1054"/>
      <c r="AK50" s="1054"/>
      <c r="AL50" s="1054"/>
      <c r="AM50" s="848"/>
      <c r="AN50" s="848"/>
      <c r="AO50" s="849"/>
    </row>
    <row r="51" spans="2:41" s="846" customFormat="1" ht="18" customHeight="1">
      <c r="B51" s="1055" t="s">
        <v>70</v>
      </c>
      <c r="C51" s="1055"/>
      <c r="D51" s="850"/>
      <c r="F51" s="845"/>
      <c r="H51" s="851" t="s">
        <v>71</v>
      </c>
      <c r="I51" s="848"/>
      <c r="J51" s="848"/>
      <c r="K51" s="848"/>
      <c r="L51" s="848"/>
      <c r="M51" s="848"/>
      <c r="N51" s="848"/>
      <c r="O51" s="848"/>
      <c r="P51" s="848"/>
      <c r="Q51" s="848"/>
      <c r="R51" s="848"/>
      <c r="S51" s="848"/>
      <c r="T51" s="848"/>
      <c r="U51" s="848"/>
      <c r="V51" s="848"/>
      <c r="W51" s="848"/>
      <c r="X51" s="848"/>
      <c r="Y51" s="848"/>
      <c r="Z51" s="848"/>
      <c r="AA51" s="848"/>
      <c r="AC51" s="848"/>
      <c r="AD51" s="848"/>
      <c r="AE51" s="848"/>
      <c r="AF51" s="848"/>
      <c r="AG51" s="1056"/>
      <c r="AH51" s="1056"/>
      <c r="AI51" s="1056"/>
      <c r="AJ51" s="1056"/>
      <c r="AK51" s="1056"/>
      <c r="AL51" s="1056"/>
      <c r="AM51" s="844"/>
      <c r="AN51" s="844"/>
      <c r="AO51" s="844"/>
    </row>
  </sheetData>
  <mergeCells count="50">
    <mergeCell ref="A12:AB12"/>
    <mergeCell ref="F13:F14"/>
    <mergeCell ref="G13:AB13"/>
    <mergeCell ref="A10:B10"/>
    <mergeCell ref="B13:B14"/>
    <mergeCell ref="C13:C14"/>
    <mergeCell ref="D13:D14"/>
    <mergeCell ref="E13:E14"/>
    <mergeCell ref="A13:A14"/>
    <mergeCell ref="A8:B8"/>
    <mergeCell ref="C8:F8"/>
    <mergeCell ref="A9:B9"/>
    <mergeCell ref="C9:F9"/>
    <mergeCell ref="C10:F10"/>
    <mergeCell ref="A1:B3"/>
    <mergeCell ref="C1:AB1"/>
    <mergeCell ref="C2:AB2"/>
    <mergeCell ref="C3:G3"/>
    <mergeCell ref="H3:AB3"/>
    <mergeCell ref="C4:AB4"/>
    <mergeCell ref="A5:B5"/>
    <mergeCell ref="C5:AB5"/>
    <mergeCell ref="A7:B7"/>
    <mergeCell ref="C7:F7"/>
    <mergeCell ref="A4:B4"/>
    <mergeCell ref="E20:AB20"/>
    <mergeCell ref="E21:E22"/>
    <mergeCell ref="F21:F22"/>
    <mergeCell ref="G21:AB21"/>
    <mergeCell ref="E24:F24"/>
    <mergeCell ref="E25:F25"/>
    <mergeCell ref="E26:F26"/>
    <mergeCell ref="E27:F27"/>
    <mergeCell ref="E28:F28"/>
    <mergeCell ref="E29:F29"/>
    <mergeCell ref="E30:F30"/>
    <mergeCell ref="C33:AC33"/>
    <mergeCell ref="C34:C35"/>
    <mergeCell ref="D34:D35"/>
    <mergeCell ref="E34:E35"/>
    <mergeCell ref="F34:AC34"/>
    <mergeCell ref="AG50:AL50"/>
    <mergeCell ref="B51:C51"/>
    <mergeCell ref="AG51:AL51"/>
    <mergeCell ref="E46:L46"/>
    <mergeCell ref="C36:C41"/>
    <mergeCell ref="D36:D41"/>
    <mergeCell ref="E36:E41"/>
    <mergeCell ref="C42:F42"/>
    <mergeCell ref="B50:C50"/>
  </mergeCells>
  <phoneticPr fontId="77" type="noConversion"/>
  <dataValidations count="7">
    <dataValidation allowBlank="1" showInputMessage="1" showErrorMessage="1" prompt="Describa el nombre para los casos en los que se conozca el ejecutor. Para procesos de selección escribir &quot;proponentes varios&quot; y para contratación de prestación de servicios profesionales y/o de apoyo escribir &quot;contratista no definido&quot;." sqref="C7:D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C65561:D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C131097:D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C196633:D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C262169:D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C327705:D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C393241:D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C458777:D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C524313:D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C589849:D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C655385:D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C720921:D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C786457:D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C851993:D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C917529:D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C983065:D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xr:uid="{00000000-0002-0000-0000-000000000000}"/>
    <dataValidation allowBlank="1" showInputMessage="1" showErrorMessage="1" prompt="Diligencie con el nombre del supervisor y/o interventor delegado." sqref="C8:D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C65563:D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C131099:D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C196635:D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C262171:D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C327707:D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C393243:D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C458779:D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C524315:D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C589851:D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C655387:D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C720923:D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C786459:D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C851995:D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C917531:D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C983067:D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000-000001000000}"/>
    <dataValidation allowBlank="1" showInputMessage="1" showErrorMessage="1" prompt="diligencie el numero de meses en letras (numero). ej: seis (6)." sqref="C9:D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C65565:D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C131101:D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C196637:D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C262173:D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C327709:D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C393245:D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C458781:D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C524317:D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C589853:D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C655389:D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C720925:D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C786461:D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C851997:D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C917533:D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C983069:D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xr:uid="{00000000-0002-0000-0000-000002000000}"/>
    <dataValidation allowBlank="1" showInputMessage="1" showErrorMessage="1" prompt="Ingrese el valor a pagar segun la forma de pago establecida en los estudios previos" sqref="JL23:JX23 TH23:TT23 ADD23:ADP23 AMZ23:ANL23 AWV23:AXH23 BGR23:BHD23 BQN23:BQZ23 CAJ23:CAV23 CKF23:CKR23 CUB23:CUN23 DDX23:DEJ23 DNT23:DOF23 DXP23:DYB23 EHL23:EHX23 ERH23:ERT23 FBD23:FBP23 FKZ23:FLL23 FUV23:FVH23 GER23:GFD23 GON23:GOZ23 GYJ23:GYV23 HIF23:HIR23 HSB23:HSN23 IBX23:ICJ23 ILT23:IMF23 IVP23:IWB23 JFL23:JFX23 JPH23:JPT23 JZD23:JZP23 KIZ23:KJL23 KSV23:KTH23 LCR23:LDD23 LMN23:LMZ23 LWJ23:LWV23 MGF23:MGR23 MQB23:MQN23 MZX23:NAJ23 NJT23:NKF23 NTP23:NUB23 ODL23:ODX23 ONH23:ONT23 OXD23:OXP23 PGZ23:PHL23 PQV23:PRH23 QAR23:QBD23 QKN23:QKZ23 QUJ23:QUV23 REF23:RER23 ROB23:RON23 RXX23:RYJ23 SHT23:SIF23 SRP23:SSB23 TBL23:TBX23 TLH23:TLT23 TVD23:TVP23 UEZ23:UFL23 UOV23:UPH23 UYR23:UZD23 VIN23:VIZ23 VSJ23:VSV23 WCF23:WCR23 WMB23:WMN23 WVX23:WWJ23 JL65580:JX65580 TH65580:TT65580 ADD65580:ADP65580 AMZ65580:ANL65580 AWV65580:AXH65580 BGR65580:BHD65580 BQN65580:BQZ65580 CAJ65580:CAV65580 CKF65580:CKR65580 CUB65580:CUN65580 DDX65580:DEJ65580 DNT65580:DOF65580 DXP65580:DYB65580 EHL65580:EHX65580 ERH65580:ERT65580 FBD65580:FBP65580 FKZ65580:FLL65580 FUV65580:FVH65580 GER65580:GFD65580 GON65580:GOZ65580 GYJ65580:GYV65580 HIF65580:HIR65580 HSB65580:HSN65580 IBX65580:ICJ65580 ILT65580:IMF65580 IVP65580:IWB65580 JFL65580:JFX65580 JPH65580:JPT65580 JZD65580:JZP65580 KIZ65580:KJL65580 KSV65580:KTH65580 LCR65580:LDD65580 LMN65580:LMZ65580 LWJ65580:LWV65580 MGF65580:MGR65580 MQB65580:MQN65580 MZX65580:NAJ65580 NJT65580:NKF65580 NTP65580:NUB65580 ODL65580:ODX65580 ONH65580:ONT65580 OXD65580:OXP65580 PGZ65580:PHL65580 PQV65580:PRH65580 QAR65580:QBD65580 QKN65580:QKZ65580 QUJ65580:QUV65580 REF65580:RER65580 ROB65580:RON65580 RXX65580:RYJ65580 SHT65580:SIF65580 SRP65580:SSB65580 TBL65580:TBX65580 TLH65580:TLT65580 TVD65580:TVP65580 UEZ65580:UFL65580 UOV65580:UPH65580 UYR65580:UZD65580 VIN65580:VIZ65580 VSJ65580:VSV65580 WCF65580:WCR65580 WMB65580:WMN65580 WVX65580:WWJ65580 JL131116:JX131116 TH131116:TT131116 ADD131116:ADP131116 AMZ131116:ANL131116 AWV131116:AXH131116 BGR131116:BHD131116 BQN131116:BQZ131116 CAJ131116:CAV131116 CKF131116:CKR131116 CUB131116:CUN131116 DDX131116:DEJ131116 DNT131116:DOF131116 DXP131116:DYB131116 EHL131116:EHX131116 ERH131116:ERT131116 FBD131116:FBP131116 FKZ131116:FLL131116 FUV131116:FVH131116 GER131116:GFD131116 GON131116:GOZ131116 GYJ131116:GYV131116 HIF131116:HIR131116 HSB131116:HSN131116 IBX131116:ICJ131116 ILT131116:IMF131116 IVP131116:IWB131116 JFL131116:JFX131116 JPH131116:JPT131116 JZD131116:JZP131116 KIZ131116:KJL131116 KSV131116:KTH131116 LCR131116:LDD131116 LMN131116:LMZ131116 LWJ131116:LWV131116 MGF131116:MGR131116 MQB131116:MQN131116 MZX131116:NAJ131116 NJT131116:NKF131116 NTP131116:NUB131116 ODL131116:ODX131116 ONH131116:ONT131116 OXD131116:OXP131116 PGZ131116:PHL131116 PQV131116:PRH131116 QAR131116:QBD131116 QKN131116:QKZ131116 QUJ131116:QUV131116 REF131116:RER131116 ROB131116:RON131116 RXX131116:RYJ131116 SHT131116:SIF131116 SRP131116:SSB131116 TBL131116:TBX131116 TLH131116:TLT131116 TVD131116:TVP131116 UEZ131116:UFL131116 UOV131116:UPH131116 UYR131116:UZD131116 VIN131116:VIZ131116 VSJ131116:VSV131116 WCF131116:WCR131116 WMB131116:WMN131116 WVX131116:WWJ131116 JL196652:JX196652 TH196652:TT196652 ADD196652:ADP196652 AMZ196652:ANL196652 AWV196652:AXH196652 BGR196652:BHD196652 BQN196652:BQZ196652 CAJ196652:CAV196652 CKF196652:CKR196652 CUB196652:CUN196652 DDX196652:DEJ196652 DNT196652:DOF196652 DXP196652:DYB196652 EHL196652:EHX196652 ERH196652:ERT196652 FBD196652:FBP196652 FKZ196652:FLL196652 FUV196652:FVH196652 GER196652:GFD196652 GON196652:GOZ196652 GYJ196652:GYV196652 HIF196652:HIR196652 HSB196652:HSN196652 IBX196652:ICJ196652 ILT196652:IMF196652 IVP196652:IWB196652 JFL196652:JFX196652 JPH196652:JPT196652 JZD196652:JZP196652 KIZ196652:KJL196652 KSV196652:KTH196652 LCR196652:LDD196652 LMN196652:LMZ196652 LWJ196652:LWV196652 MGF196652:MGR196652 MQB196652:MQN196652 MZX196652:NAJ196652 NJT196652:NKF196652 NTP196652:NUB196652 ODL196652:ODX196652 ONH196652:ONT196652 OXD196652:OXP196652 PGZ196652:PHL196652 PQV196652:PRH196652 QAR196652:QBD196652 QKN196652:QKZ196652 QUJ196652:QUV196652 REF196652:RER196652 ROB196652:RON196652 RXX196652:RYJ196652 SHT196652:SIF196652 SRP196652:SSB196652 TBL196652:TBX196652 TLH196652:TLT196652 TVD196652:TVP196652 UEZ196652:UFL196652 UOV196652:UPH196652 UYR196652:UZD196652 VIN196652:VIZ196652 VSJ196652:VSV196652 WCF196652:WCR196652 WMB196652:WMN196652 WVX196652:WWJ196652 JL262188:JX262188 TH262188:TT262188 ADD262188:ADP262188 AMZ262188:ANL262188 AWV262188:AXH262188 BGR262188:BHD262188 BQN262188:BQZ262188 CAJ262188:CAV262188 CKF262188:CKR262188 CUB262188:CUN262188 DDX262188:DEJ262188 DNT262188:DOF262188 DXP262188:DYB262188 EHL262188:EHX262188 ERH262188:ERT262188 FBD262188:FBP262188 FKZ262188:FLL262188 FUV262188:FVH262188 GER262188:GFD262188 GON262188:GOZ262188 GYJ262188:GYV262188 HIF262188:HIR262188 HSB262188:HSN262188 IBX262188:ICJ262188 ILT262188:IMF262188 IVP262188:IWB262188 JFL262188:JFX262188 JPH262188:JPT262188 JZD262188:JZP262188 KIZ262188:KJL262188 KSV262188:KTH262188 LCR262188:LDD262188 LMN262188:LMZ262188 LWJ262188:LWV262188 MGF262188:MGR262188 MQB262188:MQN262188 MZX262188:NAJ262188 NJT262188:NKF262188 NTP262188:NUB262188 ODL262188:ODX262188 ONH262188:ONT262188 OXD262188:OXP262188 PGZ262188:PHL262188 PQV262188:PRH262188 QAR262188:QBD262188 QKN262188:QKZ262188 QUJ262188:QUV262188 REF262188:RER262188 ROB262188:RON262188 RXX262188:RYJ262188 SHT262188:SIF262188 SRP262188:SSB262188 TBL262188:TBX262188 TLH262188:TLT262188 TVD262188:TVP262188 UEZ262188:UFL262188 UOV262188:UPH262188 UYR262188:UZD262188 VIN262188:VIZ262188 VSJ262188:VSV262188 WCF262188:WCR262188 WMB262188:WMN262188 WVX262188:WWJ262188 JL327724:JX327724 TH327724:TT327724 ADD327724:ADP327724 AMZ327724:ANL327724 AWV327724:AXH327724 BGR327724:BHD327724 BQN327724:BQZ327724 CAJ327724:CAV327724 CKF327724:CKR327724 CUB327724:CUN327724 DDX327724:DEJ327724 DNT327724:DOF327724 DXP327724:DYB327724 EHL327724:EHX327724 ERH327724:ERT327724 FBD327724:FBP327724 FKZ327724:FLL327724 FUV327724:FVH327724 GER327724:GFD327724 GON327724:GOZ327724 GYJ327724:GYV327724 HIF327724:HIR327724 HSB327724:HSN327724 IBX327724:ICJ327724 ILT327724:IMF327724 IVP327724:IWB327724 JFL327724:JFX327724 JPH327724:JPT327724 JZD327724:JZP327724 KIZ327724:KJL327724 KSV327724:KTH327724 LCR327724:LDD327724 LMN327724:LMZ327724 LWJ327724:LWV327724 MGF327724:MGR327724 MQB327724:MQN327724 MZX327724:NAJ327724 NJT327724:NKF327724 NTP327724:NUB327724 ODL327724:ODX327724 ONH327724:ONT327724 OXD327724:OXP327724 PGZ327724:PHL327724 PQV327724:PRH327724 QAR327724:QBD327724 QKN327724:QKZ327724 QUJ327724:QUV327724 REF327724:RER327724 ROB327724:RON327724 RXX327724:RYJ327724 SHT327724:SIF327724 SRP327724:SSB327724 TBL327724:TBX327724 TLH327724:TLT327724 TVD327724:TVP327724 UEZ327724:UFL327724 UOV327724:UPH327724 UYR327724:UZD327724 VIN327724:VIZ327724 VSJ327724:VSV327724 WCF327724:WCR327724 WMB327724:WMN327724 WVX327724:WWJ327724 JL393260:JX393260 TH393260:TT393260 ADD393260:ADP393260 AMZ393260:ANL393260 AWV393260:AXH393260 BGR393260:BHD393260 BQN393260:BQZ393260 CAJ393260:CAV393260 CKF393260:CKR393260 CUB393260:CUN393260 DDX393260:DEJ393260 DNT393260:DOF393260 DXP393260:DYB393260 EHL393260:EHX393260 ERH393260:ERT393260 FBD393260:FBP393260 FKZ393260:FLL393260 FUV393260:FVH393260 GER393260:GFD393260 GON393260:GOZ393260 GYJ393260:GYV393260 HIF393260:HIR393260 HSB393260:HSN393260 IBX393260:ICJ393260 ILT393260:IMF393260 IVP393260:IWB393260 JFL393260:JFX393260 JPH393260:JPT393260 JZD393260:JZP393260 KIZ393260:KJL393260 KSV393260:KTH393260 LCR393260:LDD393260 LMN393260:LMZ393260 LWJ393260:LWV393260 MGF393260:MGR393260 MQB393260:MQN393260 MZX393260:NAJ393260 NJT393260:NKF393260 NTP393260:NUB393260 ODL393260:ODX393260 ONH393260:ONT393260 OXD393260:OXP393260 PGZ393260:PHL393260 PQV393260:PRH393260 QAR393260:QBD393260 QKN393260:QKZ393260 QUJ393260:QUV393260 REF393260:RER393260 ROB393260:RON393260 RXX393260:RYJ393260 SHT393260:SIF393260 SRP393260:SSB393260 TBL393260:TBX393260 TLH393260:TLT393260 TVD393260:TVP393260 UEZ393260:UFL393260 UOV393260:UPH393260 UYR393260:UZD393260 VIN393260:VIZ393260 VSJ393260:VSV393260 WCF393260:WCR393260 WMB393260:WMN393260 WVX393260:WWJ393260 JL458796:JX458796 TH458796:TT458796 ADD458796:ADP458796 AMZ458796:ANL458796 AWV458796:AXH458796 BGR458796:BHD458796 BQN458796:BQZ458796 CAJ458796:CAV458796 CKF458796:CKR458796 CUB458796:CUN458796 DDX458796:DEJ458796 DNT458796:DOF458796 DXP458796:DYB458796 EHL458796:EHX458796 ERH458796:ERT458796 FBD458796:FBP458796 FKZ458796:FLL458796 FUV458796:FVH458796 GER458796:GFD458796 GON458796:GOZ458796 GYJ458796:GYV458796 HIF458796:HIR458796 HSB458796:HSN458796 IBX458796:ICJ458796 ILT458796:IMF458796 IVP458796:IWB458796 JFL458796:JFX458796 JPH458796:JPT458796 JZD458796:JZP458796 KIZ458796:KJL458796 KSV458796:KTH458796 LCR458796:LDD458796 LMN458796:LMZ458796 LWJ458796:LWV458796 MGF458796:MGR458796 MQB458796:MQN458796 MZX458796:NAJ458796 NJT458796:NKF458796 NTP458796:NUB458796 ODL458796:ODX458796 ONH458796:ONT458796 OXD458796:OXP458796 PGZ458796:PHL458796 PQV458796:PRH458796 QAR458796:QBD458796 QKN458796:QKZ458796 QUJ458796:QUV458796 REF458796:RER458796 ROB458796:RON458796 RXX458796:RYJ458796 SHT458796:SIF458796 SRP458796:SSB458796 TBL458796:TBX458796 TLH458796:TLT458796 TVD458796:TVP458796 UEZ458796:UFL458796 UOV458796:UPH458796 UYR458796:UZD458796 VIN458796:VIZ458796 VSJ458796:VSV458796 WCF458796:WCR458796 WMB458796:WMN458796 WVX458796:WWJ458796 JL524332:JX524332 TH524332:TT524332 ADD524332:ADP524332 AMZ524332:ANL524332 AWV524332:AXH524332 BGR524332:BHD524332 BQN524332:BQZ524332 CAJ524332:CAV524332 CKF524332:CKR524332 CUB524332:CUN524332 DDX524332:DEJ524332 DNT524332:DOF524332 DXP524332:DYB524332 EHL524332:EHX524332 ERH524332:ERT524332 FBD524332:FBP524332 FKZ524332:FLL524332 FUV524332:FVH524332 GER524332:GFD524332 GON524332:GOZ524332 GYJ524332:GYV524332 HIF524332:HIR524332 HSB524332:HSN524332 IBX524332:ICJ524332 ILT524332:IMF524332 IVP524332:IWB524332 JFL524332:JFX524332 JPH524332:JPT524332 JZD524332:JZP524332 KIZ524332:KJL524332 KSV524332:KTH524332 LCR524332:LDD524332 LMN524332:LMZ524332 LWJ524332:LWV524332 MGF524332:MGR524332 MQB524332:MQN524332 MZX524332:NAJ524332 NJT524332:NKF524332 NTP524332:NUB524332 ODL524332:ODX524332 ONH524332:ONT524332 OXD524332:OXP524332 PGZ524332:PHL524332 PQV524332:PRH524332 QAR524332:QBD524332 QKN524332:QKZ524332 QUJ524332:QUV524332 REF524332:RER524332 ROB524332:RON524332 RXX524332:RYJ524332 SHT524332:SIF524332 SRP524332:SSB524332 TBL524332:TBX524332 TLH524332:TLT524332 TVD524332:TVP524332 UEZ524332:UFL524332 UOV524332:UPH524332 UYR524332:UZD524332 VIN524332:VIZ524332 VSJ524332:VSV524332 WCF524332:WCR524332 WMB524332:WMN524332 WVX524332:WWJ524332 JL589868:JX589868 TH589868:TT589868 ADD589868:ADP589868 AMZ589868:ANL589868 AWV589868:AXH589868 BGR589868:BHD589868 BQN589868:BQZ589868 CAJ589868:CAV589868 CKF589868:CKR589868 CUB589868:CUN589868 DDX589868:DEJ589868 DNT589868:DOF589868 DXP589868:DYB589868 EHL589868:EHX589868 ERH589868:ERT589868 FBD589868:FBP589868 FKZ589868:FLL589868 FUV589868:FVH589868 GER589868:GFD589868 GON589868:GOZ589868 GYJ589868:GYV589868 HIF589868:HIR589868 HSB589868:HSN589868 IBX589868:ICJ589868 ILT589868:IMF589868 IVP589868:IWB589868 JFL589868:JFX589868 JPH589868:JPT589868 JZD589868:JZP589868 KIZ589868:KJL589868 KSV589868:KTH589868 LCR589868:LDD589868 LMN589868:LMZ589868 LWJ589868:LWV589868 MGF589868:MGR589868 MQB589868:MQN589868 MZX589868:NAJ589868 NJT589868:NKF589868 NTP589868:NUB589868 ODL589868:ODX589868 ONH589868:ONT589868 OXD589868:OXP589868 PGZ589868:PHL589868 PQV589868:PRH589868 QAR589868:QBD589868 QKN589868:QKZ589868 QUJ589868:QUV589868 REF589868:RER589868 ROB589868:RON589868 RXX589868:RYJ589868 SHT589868:SIF589868 SRP589868:SSB589868 TBL589868:TBX589868 TLH589868:TLT589868 TVD589868:TVP589868 UEZ589868:UFL589868 UOV589868:UPH589868 UYR589868:UZD589868 VIN589868:VIZ589868 VSJ589868:VSV589868 WCF589868:WCR589868 WMB589868:WMN589868 WVX589868:WWJ589868 JL655404:JX655404 TH655404:TT655404 ADD655404:ADP655404 AMZ655404:ANL655404 AWV655404:AXH655404 BGR655404:BHD655404 BQN655404:BQZ655404 CAJ655404:CAV655404 CKF655404:CKR655404 CUB655404:CUN655404 DDX655404:DEJ655404 DNT655404:DOF655404 DXP655404:DYB655404 EHL655404:EHX655404 ERH655404:ERT655404 FBD655404:FBP655404 FKZ655404:FLL655404 FUV655404:FVH655404 GER655404:GFD655404 GON655404:GOZ655404 GYJ655404:GYV655404 HIF655404:HIR655404 HSB655404:HSN655404 IBX655404:ICJ655404 ILT655404:IMF655404 IVP655404:IWB655404 JFL655404:JFX655404 JPH655404:JPT655404 JZD655404:JZP655404 KIZ655404:KJL655404 KSV655404:KTH655404 LCR655404:LDD655404 LMN655404:LMZ655404 LWJ655404:LWV655404 MGF655404:MGR655404 MQB655404:MQN655404 MZX655404:NAJ655404 NJT655404:NKF655404 NTP655404:NUB655404 ODL655404:ODX655404 ONH655404:ONT655404 OXD655404:OXP655404 PGZ655404:PHL655404 PQV655404:PRH655404 QAR655404:QBD655404 QKN655404:QKZ655404 QUJ655404:QUV655404 REF655404:RER655404 ROB655404:RON655404 RXX655404:RYJ655404 SHT655404:SIF655404 SRP655404:SSB655404 TBL655404:TBX655404 TLH655404:TLT655404 TVD655404:TVP655404 UEZ655404:UFL655404 UOV655404:UPH655404 UYR655404:UZD655404 VIN655404:VIZ655404 VSJ655404:VSV655404 WCF655404:WCR655404 WMB655404:WMN655404 WVX655404:WWJ655404 JL720940:JX720940 TH720940:TT720940 ADD720940:ADP720940 AMZ720940:ANL720940 AWV720940:AXH720940 BGR720940:BHD720940 BQN720940:BQZ720940 CAJ720940:CAV720940 CKF720940:CKR720940 CUB720940:CUN720940 DDX720940:DEJ720940 DNT720940:DOF720940 DXP720940:DYB720940 EHL720940:EHX720940 ERH720940:ERT720940 FBD720940:FBP720940 FKZ720940:FLL720940 FUV720940:FVH720940 GER720940:GFD720940 GON720940:GOZ720940 GYJ720940:GYV720940 HIF720940:HIR720940 HSB720940:HSN720940 IBX720940:ICJ720940 ILT720940:IMF720940 IVP720940:IWB720940 JFL720940:JFX720940 JPH720940:JPT720940 JZD720940:JZP720940 KIZ720940:KJL720940 KSV720940:KTH720940 LCR720940:LDD720940 LMN720940:LMZ720940 LWJ720940:LWV720940 MGF720940:MGR720940 MQB720940:MQN720940 MZX720940:NAJ720940 NJT720940:NKF720940 NTP720940:NUB720940 ODL720940:ODX720940 ONH720940:ONT720940 OXD720940:OXP720940 PGZ720940:PHL720940 PQV720940:PRH720940 QAR720940:QBD720940 QKN720940:QKZ720940 QUJ720940:QUV720940 REF720940:RER720940 ROB720940:RON720940 RXX720940:RYJ720940 SHT720940:SIF720940 SRP720940:SSB720940 TBL720940:TBX720940 TLH720940:TLT720940 TVD720940:TVP720940 UEZ720940:UFL720940 UOV720940:UPH720940 UYR720940:UZD720940 VIN720940:VIZ720940 VSJ720940:VSV720940 WCF720940:WCR720940 WMB720940:WMN720940 WVX720940:WWJ720940 JL786476:JX786476 TH786476:TT786476 ADD786476:ADP786476 AMZ786476:ANL786476 AWV786476:AXH786476 BGR786476:BHD786476 BQN786476:BQZ786476 CAJ786476:CAV786476 CKF786476:CKR786476 CUB786476:CUN786476 DDX786476:DEJ786476 DNT786476:DOF786476 DXP786476:DYB786476 EHL786476:EHX786476 ERH786476:ERT786476 FBD786476:FBP786476 FKZ786476:FLL786476 FUV786476:FVH786476 GER786476:GFD786476 GON786476:GOZ786476 GYJ786476:GYV786476 HIF786476:HIR786476 HSB786476:HSN786476 IBX786476:ICJ786476 ILT786476:IMF786476 IVP786476:IWB786476 JFL786476:JFX786476 JPH786476:JPT786476 JZD786476:JZP786476 KIZ786476:KJL786476 KSV786476:KTH786476 LCR786476:LDD786476 LMN786476:LMZ786476 LWJ786476:LWV786476 MGF786476:MGR786476 MQB786476:MQN786476 MZX786476:NAJ786476 NJT786476:NKF786476 NTP786476:NUB786476 ODL786476:ODX786476 ONH786476:ONT786476 OXD786476:OXP786476 PGZ786476:PHL786476 PQV786476:PRH786476 QAR786476:QBD786476 QKN786476:QKZ786476 QUJ786476:QUV786476 REF786476:RER786476 ROB786476:RON786476 RXX786476:RYJ786476 SHT786476:SIF786476 SRP786476:SSB786476 TBL786476:TBX786476 TLH786476:TLT786476 TVD786476:TVP786476 UEZ786476:UFL786476 UOV786476:UPH786476 UYR786476:UZD786476 VIN786476:VIZ786476 VSJ786476:VSV786476 WCF786476:WCR786476 WMB786476:WMN786476 WVX786476:WWJ786476 JL852012:JX852012 TH852012:TT852012 ADD852012:ADP852012 AMZ852012:ANL852012 AWV852012:AXH852012 BGR852012:BHD852012 BQN852012:BQZ852012 CAJ852012:CAV852012 CKF852012:CKR852012 CUB852012:CUN852012 DDX852012:DEJ852012 DNT852012:DOF852012 DXP852012:DYB852012 EHL852012:EHX852012 ERH852012:ERT852012 FBD852012:FBP852012 FKZ852012:FLL852012 FUV852012:FVH852012 GER852012:GFD852012 GON852012:GOZ852012 GYJ852012:GYV852012 HIF852012:HIR852012 HSB852012:HSN852012 IBX852012:ICJ852012 ILT852012:IMF852012 IVP852012:IWB852012 JFL852012:JFX852012 JPH852012:JPT852012 JZD852012:JZP852012 KIZ852012:KJL852012 KSV852012:KTH852012 LCR852012:LDD852012 LMN852012:LMZ852012 LWJ852012:LWV852012 MGF852012:MGR852012 MQB852012:MQN852012 MZX852012:NAJ852012 NJT852012:NKF852012 NTP852012:NUB852012 ODL852012:ODX852012 ONH852012:ONT852012 OXD852012:OXP852012 PGZ852012:PHL852012 PQV852012:PRH852012 QAR852012:QBD852012 QKN852012:QKZ852012 QUJ852012:QUV852012 REF852012:RER852012 ROB852012:RON852012 RXX852012:RYJ852012 SHT852012:SIF852012 SRP852012:SSB852012 TBL852012:TBX852012 TLH852012:TLT852012 TVD852012:TVP852012 UEZ852012:UFL852012 UOV852012:UPH852012 UYR852012:UZD852012 VIN852012:VIZ852012 VSJ852012:VSV852012 WCF852012:WCR852012 WMB852012:WMN852012 WVX852012:WWJ852012 JL917548:JX917548 TH917548:TT917548 ADD917548:ADP917548 AMZ917548:ANL917548 AWV917548:AXH917548 BGR917548:BHD917548 BQN917548:BQZ917548 CAJ917548:CAV917548 CKF917548:CKR917548 CUB917548:CUN917548 DDX917548:DEJ917548 DNT917548:DOF917548 DXP917548:DYB917548 EHL917548:EHX917548 ERH917548:ERT917548 FBD917548:FBP917548 FKZ917548:FLL917548 FUV917548:FVH917548 GER917548:GFD917548 GON917548:GOZ917548 GYJ917548:GYV917548 HIF917548:HIR917548 HSB917548:HSN917548 IBX917548:ICJ917548 ILT917548:IMF917548 IVP917548:IWB917548 JFL917548:JFX917548 JPH917548:JPT917548 JZD917548:JZP917548 KIZ917548:KJL917548 KSV917548:KTH917548 LCR917548:LDD917548 LMN917548:LMZ917548 LWJ917548:LWV917548 MGF917548:MGR917548 MQB917548:MQN917548 MZX917548:NAJ917548 NJT917548:NKF917548 NTP917548:NUB917548 ODL917548:ODX917548 ONH917548:ONT917548 OXD917548:OXP917548 PGZ917548:PHL917548 PQV917548:PRH917548 QAR917548:QBD917548 QKN917548:QKZ917548 QUJ917548:QUV917548 REF917548:RER917548 ROB917548:RON917548 RXX917548:RYJ917548 SHT917548:SIF917548 SRP917548:SSB917548 TBL917548:TBX917548 TLH917548:TLT917548 TVD917548:TVP917548 UEZ917548:UFL917548 UOV917548:UPH917548 UYR917548:UZD917548 VIN917548:VIZ917548 VSJ917548:VSV917548 WCF917548:WCR917548 WMB917548:WMN917548 WVX917548:WWJ917548 JL983084:JX983084 TH983084:TT983084 ADD983084:ADP983084 AMZ983084:ANL983084 AWV983084:AXH983084 BGR983084:BHD983084 BQN983084:BQZ983084 CAJ983084:CAV983084 CKF983084:CKR983084 CUB983084:CUN983084 DDX983084:DEJ983084 DNT983084:DOF983084 DXP983084:DYB983084 EHL983084:EHX983084 ERH983084:ERT983084 FBD983084:FBP983084 FKZ983084:FLL983084 FUV983084:FVH983084 GER983084:GFD983084 GON983084:GOZ983084 GYJ983084:GYV983084 HIF983084:HIR983084 HSB983084:HSN983084 IBX983084:ICJ983084 ILT983084:IMF983084 IVP983084:IWB983084 JFL983084:JFX983084 JPH983084:JPT983084 JZD983084:JZP983084 KIZ983084:KJL983084 KSV983084:KTH983084 LCR983084:LDD983084 LMN983084:LMZ983084 LWJ983084:LWV983084 MGF983084:MGR983084 MQB983084:MQN983084 MZX983084:NAJ983084 NJT983084:NKF983084 NTP983084:NUB983084 ODL983084:ODX983084 ONH983084:ONT983084 OXD983084:OXP983084 PGZ983084:PHL983084 PQV983084:PRH983084 QAR983084:QBD983084 QKN983084:QKZ983084 QUJ983084:QUV983084 REF983084:RER983084 ROB983084:RON983084 RXX983084:RYJ983084 SHT983084:SIF983084 SRP983084:SSB983084 TBL983084:TBX983084 TLH983084:TLT983084 TVD983084:TVP983084 UEZ983084:UFL983084 UOV983084:UPH983084 UYR983084:UZD983084 VIN983084:VIZ983084 VSJ983084:VSV983084 WCF983084:WCR983084 WMB983084:WMN983084 WVX983084:WWJ983084 G65580:AB65580 G983084:AB983084 G917548:AB917548 G852012:AB852012 G786476:AB786476 G720940:AB720940 G655404:AB655404 G589868:AB589868 G524332:AB524332 G458796:AB458796 G393260:AB393260 G327724:AB327724 G262188:AB262188 G196652:AB196652 G131116:AB131116 G23 I23:AB23" xr:uid="{00000000-0002-0000-0000-000003000000}"/>
    <dataValidation allowBlank="1" showInputMessage="1" showErrorMessage="1" prompt="Alcance: Definir las principales actividades que se requieren para alcanzar el producto definidos en los estudios previos" sqref="WVT983077 B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B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B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B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B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B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B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B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B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B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B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B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B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B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B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B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JH16" xr:uid="{00000000-0002-0000-0000-000004000000}"/>
    <dataValidation allowBlank="1" showInputMessage="1" showErrorMessage="1" prompt="Emplear una unidad de medida concreta y medible, no utilizar GLOBAL" sqref="WVV983076:WVV983077 E65572:E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E131108:E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E196644:E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E262180:E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E327716:E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E393252:E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E458788:E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E524324:E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E589860:E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E655396:E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E720932:E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E786468:E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E852004:E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E917540:E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E983076:E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E15:E16 WVV15:WVV16 WLZ15:WLZ16 WCD15:WCD16 VSH15:VSH16 VIL15:VIL16 UYP15:UYP16 UOT15:UOT16 UEX15:UEX16 TVB15:TVB16 TLF15:TLF16 TBJ15:TBJ16 SRN15:SRN16 SHR15:SHR16 RXV15:RXV16 RNZ15:RNZ16 RED15:RED16 QUH15:QUH16 QKL15:QKL16 QAP15:QAP16 PQT15:PQT16 PGX15:PGX16 OXB15:OXB16 ONF15:ONF16 ODJ15:ODJ16 NTN15:NTN16 NJR15:NJR16 MZV15:MZV16 MPZ15:MPZ16 MGD15:MGD16 LWH15:LWH16 LML15:LML16 LCP15:LCP16 KST15:KST16 KIX15:KIX16 JZB15:JZB16 JPF15:JPF16 JFJ15:JFJ16 IVN15:IVN16 ILR15:ILR16 IBV15:IBV16 HRZ15:HRZ16 HID15:HID16 GYH15:GYH16 GOL15:GOL16 GEP15:GEP16 FUT15:FUT16 FKX15:FKX16 FBB15:FBB16 ERF15:ERF16 EHJ15:EHJ16 DXN15:DXN16 DNR15:DNR16 DDV15:DDV16 CTZ15:CTZ16 CKD15:CKD16 CAH15:CAH16 BQL15:BQL16 BGP15:BGP16 AWT15:AWT16 AMX15:AMX16 ADB15:ADB16 TF15:TF16 JJ15:JJ16" xr:uid="{00000000-0002-0000-0000-000005000000}"/>
    <dataValidation allowBlank="1" showInputMessage="1" showErrorMessage="1" prompt="Diligencie si es mensual, bimestral, trimestral o semestral." sqref="G65568:I65568 JL65568:JN65568 TH65568:TJ65568 ADD65568:ADF65568 AMZ65568:ANB65568 AWV65568:AWX65568 BGR65568:BGT65568 BQN65568:BQP65568 CAJ65568:CAL65568 CKF65568:CKH65568 CUB65568:CUD65568 DDX65568:DDZ65568 DNT65568:DNV65568 DXP65568:DXR65568 EHL65568:EHN65568 ERH65568:ERJ65568 FBD65568:FBF65568 FKZ65568:FLB65568 FUV65568:FUX65568 GER65568:GET65568 GON65568:GOP65568 GYJ65568:GYL65568 HIF65568:HIH65568 HSB65568:HSD65568 IBX65568:IBZ65568 ILT65568:ILV65568 IVP65568:IVR65568 JFL65568:JFN65568 JPH65568:JPJ65568 JZD65568:JZF65568 KIZ65568:KJB65568 KSV65568:KSX65568 LCR65568:LCT65568 LMN65568:LMP65568 LWJ65568:LWL65568 MGF65568:MGH65568 MQB65568:MQD65568 MZX65568:MZZ65568 NJT65568:NJV65568 NTP65568:NTR65568 ODL65568:ODN65568 ONH65568:ONJ65568 OXD65568:OXF65568 PGZ65568:PHB65568 PQV65568:PQX65568 QAR65568:QAT65568 QKN65568:QKP65568 QUJ65568:QUL65568 REF65568:REH65568 ROB65568:ROD65568 RXX65568:RXZ65568 SHT65568:SHV65568 SRP65568:SRR65568 TBL65568:TBN65568 TLH65568:TLJ65568 TVD65568:TVF65568 UEZ65568:UFB65568 UOV65568:UOX65568 UYR65568:UYT65568 VIN65568:VIP65568 VSJ65568:VSL65568 WCF65568:WCH65568 WMB65568:WMD65568 WVX65568:WVZ65568 G131104:I131104 JL131104:JN131104 TH131104:TJ131104 ADD131104:ADF131104 AMZ131104:ANB131104 AWV131104:AWX131104 BGR131104:BGT131104 BQN131104:BQP131104 CAJ131104:CAL131104 CKF131104:CKH131104 CUB131104:CUD131104 DDX131104:DDZ131104 DNT131104:DNV131104 DXP131104:DXR131104 EHL131104:EHN131104 ERH131104:ERJ131104 FBD131104:FBF131104 FKZ131104:FLB131104 FUV131104:FUX131104 GER131104:GET131104 GON131104:GOP131104 GYJ131104:GYL131104 HIF131104:HIH131104 HSB131104:HSD131104 IBX131104:IBZ131104 ILT131104:ILV131104 IVP131104:IVR131104 JFL131104:JFN131104 JPH131104:JPJ131104 JZD131104:JZF131104 KIZ131104:KJB131104 KSV131104:KSX131104 LCR131104:LCT131104 LMN131104:LMP131104 LWJ131104:LWL131104 MGF131104:MGH131104 MQB131104:MQD131104 MZX131104:MZZ131104 NJT131104:NJV131104 NTP131104:NTR131104 ODL131104:ODN131104 ONH131104:ONJ131104 OXD131104:OXF131104 PGZ131104:PHB131104 PQV131104:PQX131104 QAR131104:QAT131104 QKN131104:QKP131104 QUJ131104:QUL131104 REF131104:REH131104 ROB131104:ROD131104 RXX131104:RXZ131104 SHT131104:SHV131104 SRP131104:SRR131104 TBL131104:TBN131104 TLH131104:TLJ131104 TVD131104:TVF131104 UEZ131104:UFB131104 UOV131104:UOX131104 UYR131104:UYT131104 VIN131104:VIP131104 VSJ131104:VSL131104 WCF131104:WCH131104 WMB131104:WMD131104 WVX131104:WVZ131104 G196640:I196640 JL196640:JN196640 TH196640:TJ196640 ADD196640:ADF196640 AMZ196640:ANB196640 AWV196640:AWX196640 BGR196640:BGT196640 BQN196640:BQP196640 CAJ196640:CAL196640 CKF196640:CKH196640 CUB196640:CUD196640 DDX196640:DDZ196640 DNT196640:DNV196640 DXP196640:DXR196640 EHL196640:EHN196640 ERH196640:ERJ196640 FBD196640:FBF196640 FKZ196640:FLB196640 FUV196640:FUX196640 GER196640:GET196640 GON196640:GOP196640 GYJ196640:GYL196640 HIF196640:HIH196640 HSB196640:HSD196640 IBX196640:IBZ196640 ILT196640:ILV196640 IVP196640:IVR196640 JFL196640:JFN196640 JPH196640:JPJ196640 JZD196640:JZF196640 KIZ196640:KJB196640 KSV196640:KSX196640 LCR196640:LCT196640 LMN196640:LMP196640 LWJ196640:LWL196640 MGF196640:MGH196640 MQB196640:MQD196640 MZX196640:MZZ196640 NJT196640:NJV196640 NTP196640:NTR196640 ODL196640:ODN196640 ONH196640:ONJ196640 OXD196640:OXF196640 PGZ196640:PHB196640 PQV196640:PQX196640 QAR196640:QAT196640 QKN196640:QKP196640 QUJ196640:QUL196640 REF196640:REH196640 ROB196640:ROD196640 RXX196640:RXZ196640 SHT196640:SHV196640 SRP196640:SRR196640 TBL196640:TBN196640 TLH196640:TLJ196640 TVD196640:TVF196640 UEZ196640:UFB196640 UOV196640:UOX196640 UYR196640:UYT196640 VIN196640:VIP196640 VSJ196640:VSL196640 WCF196640:WCH196640 WMB196640:WMD196640 WVX196640:WVZ196640 G262176:I262176 JL262176:JN262176 TH262176:TJ262176 ADD262176:ADF262176 AMZ262176:ANB262176 AWV262176:AWX262176 BGR262176:BGT262176 BQN262176:BQP262176 CAJ262176:CAL262176 CKF262176:CKH262176 CUB262176:CUD262176 DDX262176:DDZ262176 DNT262176:DNV262176 DXP262176:DXR262176 EHL262176:EHN262176 ERH262176:ERJ262176 FBD262176:FBF262176 FKZ262176:FLB262176 FUV262176:FUX262176 GER262176:GET262176 GON262176:GOP262176 GYJ262176:GYL262176 HIF262176:HIH262176 HSB262176:HSD262176 IBX262176:IBZ262176 ILT262176:ILV262176 IVP262176:IVR262176 JFL262176:JFN262176 JPH262176:JPJ262176 JZD262176:JZF262176 KIZ262176:KJB262176 KSV262176:KSX262176 LCR262176:LCT262176 LMN262176:LMP262176 LWJ262176:LWL262176 MGF262176:MGH262176 MQB262176:MQD262176 MZX262176:MZZ262176 NJT262176:NJV262176 NTP262176:NTR262176 ODL262176:ODN262176 ONH262176:ONJ262176 OXD262176:OXF262176 PGZ262176:PHB262176 PQV262176:PQX262176 QAR262176:QAT262176 QKN262176:QKP262176 QUJ262176:QUL262176 REF262176:REH262176 ROB262176:ROD262176 RXX262176:RXZ262176 SHT262176:SHV262176 SRP262176:SRR262176 TBL262176:TBN262176 TLH262176:TLJ262176 TVD262176:TVF262176 UEZ262176:UFB262176 UOV262176:UOX262176 UYR262176:UYT262176 VIN262176:VIP262176 VSJ262176:VSL262176 WCF262176:WCH262176 WMB262176:WMD262176 WVX262176:WVZ262176 G327712:I327712 JL327712:JN327712 TH327712:TJ327712 ADD327712:ADF327712 AMZ327712:ANB327712 AWV327712:AWX327712 BGR327712:BGT327712 BQN327712:BQP327712 CAJ327712:CAL327712 CKF327712:CKH327712 CUB327712:CUD327712 DDX327712:DDZ327712 DNT327712:DNV327712 DXP327712:DXR327712 EHL327712:EHN327712 ERH327712:ERJ327712 FBD327712:FBF327712 FKZ327712:FLB327712 FUV327712:FUX327712 GER327712:GET327712 GON327712:GOP327712 GYJ327712:GYL327712 HIF327712:HIH327712 HSB327712:HSD327712 IBX327712:IBZ327712 ILT327712:ILV327712 IVP327712:IVR327712 JFL327712:JFN327712 JPH327712:JPJ327712 JZD327712:JZF327712 KIZ327712:KJB327712 KSV327712:KSX327712 LCR327712:LCT327712 LMN327712:LMP327712 LWJ327712:LWL327712 MGF327712:MGH327712 MQB327712:MQD327712 MZX327712:MZZ327712 NJT327712:NJV327712 NTP327712:NTR327712 ODL327712:ODN327712 ONH327712:ONJ327712 OXD327712:OXF327712 PGZ327712:PHB327712 PQV327712:PQX327712 QAR327712:QAT327712 QKN327712:QKP327712 QUJ327712:QUL327712 REF327712:REH327712 ROB327712:ROD327712 RXX327712:RXZ327712 SHT327712:SHV327712 SRP327712:SRR327712 TBL327712:TBN327712 TLH327712:TLJ327712 TVD327712:TVF327712 UEZ327712:UFB327712 UOV327712:UOX327712 UYR327712:UYT327712 VIN327712:VIP327712 VSJ327712:VSL327712 WCF327712:WCH327712 WMB327712:WMD327712 WVX327712:WVZ327712 G393248:I393248 JL393248:JN393248 TH393248:TJ393248 ADD393248:ADF393248 AMZ393248:ANB393248 AWV393248:AWX393248 BGR393248:BGT393248 BQN393248:BQP393248 CAJ393248:CAL393248 CKF393248:CKH393248 CUB393248:CUD393248 DDX393248:DDZ393248 DNT393248:DNV393248 DXP393248:DXR393248 EHL393248:EHN393248 ERH393248:ERJ393248 FBD393248:FBF393248 FKZ393248:FLB393248 FUV393248:FUX393248 GER393248:GET393248 GON393248:GOP393248 GYJ393248:GYL393248 HIF393248:HIH393248 HSB393248:HSD393248 IBX393248:IBZ393248 ILT393248:ILV393248 IVP393248:IVR393248 JFL393248:JFN393248 JPH393248:JPJ393248 JZD393248:JZF393248 KIZ393248:KJB393248 KSV393248:KSX393248 LCR393248:LCT393248 LMN393248:LMP393248 LWJ393248:LWL393248 MGF393248:MGH393248 MQB393248:MQD393248 MZX393248:MZZ393248 NJT393248:NJV393248 NTP393248:NTR393248 ODL393248:ODN393248 ONH393248:ONJ393248 OXD393248:OXF393248 PGZ393248:PHB393248 PQV393248:PQX393248 QAR393248:QAT393248 QKN393248:QKP393248 QUJ393248:QUL393248 REF393248:REH393248 ROB393248:ROD393248 RXX393248:RXZ393248 SHT393248:SHV393248 SRP393248:SRR393248 TBL393248:TBN393248 TLH393248:TLJ393248 TVD393248:TVF393248 UEZ393248:UFB393248 UOV393248:UOX393248 UYR393248:UYT393248 VIN393248:VIP393248 VSJ393248:VSL393248 WCF393248:WCH393248 WMB393248:WMD393248 WVX393248:WVZ393248 G458784:I458784 JL458784:JN458784 TH458784:TJ458784 ADD458784:ADF458784 AMZ458784:ANB458784 AWV458784:AWX458784 BGR458784:BGT458784 BQN458784:BQP458784 CAJ458784:CAL458784 CKF458784:CKH458784 CUB458784:CUD458784 DDX458784:DDZ458784 DNT458784:DNV458784 DXP458784:DXR458784 EHL458784:EHN458784 ERH458784:ERJ458784 FBD458784:FBF458784 FKZ458784:FLB458784 FUV458784:FUX458784 GER458784:GET458784 GON458784:GOP458784 GYJ458784:GYL458784 HIF458784:HIH458784 HSB458784:HSD458784 IBX458784:IBZ458784 ILT458784:ILV458784 IVP458784:IVR458784 JFL458784:JFN458784 JPH458784:JPJ458784 JZD458784:JZF458784 KIZ458784:KJB458784 KSV458784:KSX458784 LCR458784:LCT458784 LMN458784:LMP458784 LWJ458784:LWL458784 MGF458784:MGH458784 MQB458784:MQD458784 MZX458784:MZZ458784 NJT458784:NJV458784 NTP458784:NTR458784 ODL458784:ODN458784 ONH458784:ONJ458784 OXD458784:OXF458784 PGZ458784:PHB458784 PQV458784:PQX458784 QAR458784:QAT458784 QKN458784:QKP458784 QUJ458784:QUL458784 REF458784:REH458784 ROB458784:ROD458784 RXX458784:RXZ458784 SHT458784:SHV458784 SRP458784:SRR458784 TBL458784:TBN458784 TLH458784:TLJ458784 TVD458784:TVF458784 UEZ458784:UFB458784 UOV458784:UOX458784 UYR458784:UYT458784 VIN458784:VIP458784 VSJ458784:VSL458784 WCF458784:WCH458784 WMB458784:WMD458784 WVX458784:WVZ458784 G524320:I524320 JL524320:JN524320 TH524320:TJ524320 ADD524320:ADF524320 AMZ524320:ANB524320 AWV524320:AWX524320 BGR524320:BGT524320 BQN524320:BQP524320 CAJ524320:CAL524320 CKF524320:CKH524320 CUB524320:CUD524320 DDX524320:DDZ524320 DNT524320:DNV524320 DXP524320:DXR524320 EHL524320:EHN524320 ERH524320:ERJ524320 FBD524320:FBF524320 FKZ524320:FLB524320 FUV524320:FUX524320 GER524320:GET524320 GON524320:GOP524320 GYJ524320:GYL524320 HIF524320:HIH524320 HSB524320:HSD524320 IBX524320:IBZ524320 ILT524320:ILV524320 IVP524320:IVR524320 JFL524320:JFN524320 JPH524320:JPJ524320 JZD524320:JZF524320 KIZ524320:KJB524320 KSV524320:KSX524320 LCR524320:LCT524320 LMN524320:LMP524320 LWJ524320:LWL524320 MGF524320:MGH524320 MQB524320:MQD524320 MZX524320:MZZ524320 NJT524320:NJV524320 NTP524320:NTR524320 ODL524320:ODN524320 ONH524320:ONJ524320 OXD524320:OXF524320 PGZ524320:PHB524320 PQV524320:PQX524320 QAR524320:QAT524320 QKN524320:QKP524320 QUJ524320:QUL524320 REF524320:REH524320 ROB524320:ROD524320 RXX524320:RXZ524320 SHT524320:SHV524320 SRP524320:SRR524320 TBL524320:TBN524320 TLH524320:TLJ524320 TVD524320:TVF524320 UEZ524320:UFB524320 UOV524320:UOX524320 UYR524320:UYT524320 VIN524320:VIP524320 VSJ524320:VSL524320 WCF524320:WCH524320 WMB524320:WMD524320 WVX524320:WVZ524320 G589856:I589856 JL589856:JN589856 TH589856:TJ589856 ADD589856:ADF589856 AMZ589856:ANB589856 AWV589856:AWX589856 BGR589856:BGT589856 BQN589856:BQP589856 CAJ589856:CAL589856 CKF589856:CKH589856 CUB589856:CUD589856 DDX589856:DDZ589856 DNT589856:DNV589856 DXP589856:DXR589856 EHL589856:EHN589856 ERH589856:ERJ589856 FBD589856:FBF589856 FKZ589856:FLB589856 FUV589856:FUX589856 GER589856:GET589856 GON589856:GOP589856 GYJ589856:GYL589856 HIF589856:HIH589856 HSB589856:HSD589856 IBX589856:IBZ589856 ILT589856:ILV589856 IVP589856:IVR589856 JFL589856:JFN589856 JPH589856:JPJ589856 JZD589856:JZF589856 KIZ589856:KJB589856 KSV589856:KSX589856 LCR589856:LCT589856 LMN589856:LMP589856 LWJ589856:LWL589856 MGF589856:MGH589856 MQB589856:MQD589856 MZX589856:MZZ589856 NJT589856:NJV589856 NTP589856:NTR589856 ODL589856:ODN589856 ONH589856:ONJ589856 OXD589856:OXF589856 PGZ589856:PHB589856 PQV589856:PQX589856 QAR589856:QAT589856 QKN589856:QKP589856 QUJ589856:QUL589856 REF589856:REH589856 ROB589856:ROD589856 RXX589856:RXZ589856 SHT589856:SHV589856 SRP589856:SRR589856 TBL589856:TBN589856 TLH589856:TLJ589856 TVD589856:TVF589856 UEZ589856:UFB589856 UOV589856:UOX589856 UYR589856:UYT589856 VIN589856:VIP589856 VSJ589856:VSL589856 WCF589856:WCH589856 WMB589856:WMD589856 WVX589856:WVZ589856 G655392:I655392 JL655392:JN655392 TH655392:TJ655392 ADD655392:ADF655392 AMZ655392:ANB655392 AWV655392:AWX655392 BGR655392:BGT655392 BQN655392:BQP655392 CAJ655392:CAL655392 CKF655392:CKH655392 CUB655392:CUD655392 DDX655392:DDZ655392 DNT655392:DNV655392 DXP655392:DXR655392 EHL655392:EHN655392 ERH655392:ERJ655392 FBD655392:FBF655392 FKZ655392:FLB655392 FUV655392:FUX655392 GER655392:GET655392 GON655392:GOP655392 GYJ655392:GYL655392 HIF655392:HIH655392 HSB655392:HSD655392 IBX655392:IBZ655392 ILT655392:ILV655392 IVP655392:IVR655392 JFL655392:JFN655392 JPH655392:JPJ655392 JZD655392:JZF655392 KIZ655392:KJB655392 KSV655392:KSX655392 LCR655392:LCT655392 LMN655392:LMP655392 LWJ655392:LWL655392 MGF655392:MGH655392 MQB655392:MQD655392 MZX655392:MZZ655392 NJT655392:NJV655392 NTP655392:NTR655392 ODL655392:ODN655392 ONH655392:ONJ655392 OXD655392:OXF655392 PGZ655392:PHB655392 PQV655392:PQX655392 QAR655392:QAT655392 QKN655392:QKP655392 QUJ655392:QUL655392 REF655392:REH655392 ROB655392:ROD655392 RXX655392:RXZ655392 SHT655392:SHV655392 SRP655392:SRR655392 TBL655392:TBN655392 TLH655392:TLJ655392 TVD655392:TVF655392 UEZ655392:UFB655392 UOV655392:UOX655392 UYR655392:UYT655392 VIN655392:VIP655392 VSJ655392:VSL655392 WCF655392:WCH655392 WMB655392:WMD655392 WVX655392:WVZ655392 G720928:I720928 JL720928:JN720928 TH720928:TJ720928 ADD720928:ADF720928 AMZ720928:ANB720928 AWV720928:AWX720928 BGR720928:BGT720928 BQN720928:BQP720928 CAJ720928:CAL720928 CKF720928:CKH720928 CUB720928:CUD720928 DDX720928:DDZ720928 DNT720928:DNV720928 DXP720928:DXR720928 EHL720928:EHN720928 ERH720928:ERJ720928 FBD720928:FBF720928 FKZ720928:FLB720928 FUV720928:FUX720928 GER720928:GET720928 GON720928:GOP720928 GYJ720928:GYL720928 HIF720928:HIH720928 HSB720928:HSD720928 IBX720928:IBZ720928 ILT720928:ILV720928 IVP720928:IVR720928 JFL720928:JFN720928 JPH720928:JPJ720928 JZD720928:JZF720928 KIZ720928:KJB720928 KSV720928:KSX720928 LCR720928:LCT720928 LMN720928:LMP720928 LWJ720928:LWL720928 MGF720928:MGH720928 MQB720928:MQD720928 MZX720928:MZZ720928 NJT720928:NJV720928 NTP720928:NTR720928 ODL720928:ODN720928 ONH720928:ONJ720928 OXD720928:OXF720928 PGZ720928:PHB720928 PQV720928:PQX720928 QAR720928:QAT720928 QKN720928:QKP720928 QUJ720928:QUL720928 REF720928:REH720928 ROB720928:ROD720928 RXX720928:RXZ720928 SHT720928:SHV720928 SRP720928:SRR720928 TBL720928:TBN720928 TLH720928:TLJ720928 TVD720928:TVF720928 UEZ720928:UFB720928 UOV720928:UOX720928 UYR720928:UYT720928 VIN720928:VIP720928 VSJ720928:VSL720928 WCF720928:WCH720928 WMB720928:WMD720928 WVX720928:WVZ720928 G786464:I786464 JL786464:JN786464 TH786464:TJ786464 ADD786464:ADF786464 AMZ786464:ANB786464 AWV786464:AWX786464 BGR786464:BGT786464 BQN786464:BQP786464 CAJ786464:CAL786464 CKF786464:CKH786464 CUB786464:CUD786464 DDX786464:DDZ786464 DNT786464:DNV786464 DXP786464:DXR786464 EHL786464:EHN786464 ERH786464:ERJ786464 FBD786464:FBF786464 FKZ786464:FLB786464 FUV786464:FUX786464 GER786464:GET786464 GON786464:GOP786464 GYJ786464:GYL786464 HIF786464:HIH786464 HSB786464:HSD786464 IBX786464:IBZ786464 ILT786464:ILV786464 IVP786464:IVR786464 JFL786464:JFN786464 JPH786464:JPJ786464 JZD786464:JZF786464 KIZ786464:KJB786464 KSV786464:KSX786464 LCR786464:LCT786464 LMN786464:LMP786464 LWJ786464:LWL786464 MGF786464:MGH786464 MQB786464:MQD786464 MZX786464:MZZ786464 NJT786464:NJV786464 NTP786464:NTR786464 ODL786464:ODN786464 ONH786464:ONJ786464 OXD786464:OXF786464 PGZ786464:PHB786464 PQV786464:PQX786464 QAR786464:QAT786464 QKN786464:QKP786464 QUJ786464:QUL786464 REF786464:REH786464 ROB786464:ROD786464 RXX786464:RXZ786464 SHT786464:SHV786464 SRP786464:SRR786464 TBL786464:TBN786464 TLH786464:TLJ786464 TVD786464:TVF786464 UEZ786464:UFB786464 UOV786464:UOX786464 UYR786464:UYT786464 VIN786464:VIP786464 VSJ786464:VSL786464 WCF786464:WCH786464 WMB786464:WMD786464 WVX786464:WVZ786464 G852000:I852000 JL852000:JN852000 TH852000:TJ852000 ADD852000:ADF852000 AMZ852000:ANB852000 AWV852000:AWX852000 BGR852000:BGT852000 BQN852000:BQP852000 CAJ852000:CAL852000 CKF852000:CKH852000 CUB852000:CUD852000 DDX852000:DDZ852000 DNT852000:DNV852000 DXP852000:DXR852000 EHL852000:EHN852000 ERH852000:ERJ852000 FBD852000:FBF852000 FKZ852000:FLB852000 FUV852000:FUX852000 GER852000:GET852000 GON852000:GOP852000 GYJ852000:GYL852000 HIF852000:HIH852000 HSB852000:HSD852000 IBX852000:IBZ852000 ILT852000:ILV852000 IVP852000:IVR852000 JFL852000:JFN852000 JPH852000:JPJ852000 JZD852000:JZF852000 KIZ852000:KJB852000 KSV852000:KSX852000 LCR852000:LCT852000 LMN852000:LMP852000 LWJ852000:LWL852000 MGF852000:MGH852000 MQB852000:MQD852000 MZX852000:MZZ852000 NJT852000:NJV852000 NTP852000:NTR852000 ODL852000:ODN852000 ONH852000:ONJ852000 OXD852000:OXF852000 PGZ852000:PHB852000 PQV852000:PQX852000 QAR852000:QAT852000 QKN852000:QKP852000 QUJ852000:QUL852000 REF852000:REH852000 ROB852000:ROD852000 RXX852000:RXZ852000 SHT852000:SHV852000 SRP852000:SRR852000 TBL852000:TBN852000 TLH852000:TLJ852000 TVD852000:TVF852000 UEZ852000:UFB852000 UOV852000:UOX852000 UYR852000:UYT852000 VIN852000:VIP852000 VSJ852000:VSL852000 WCF852000:WCH852000 WMB852000:WMD852000 WVX852000:WVZ852000 G917536:I917536 JL917536:JN917536 TH917536:TJ917536 ADD917536:ADF917536 AMZ917536:ANB917536 AWV917536:AWX917536 BGR917536:BGT917536 BQN917536:BQP917536 CAJ917536:CAL917536 CKF917536:CKH917536 CUB917536:CUD917536 DDX917536:DDZ917536 DNT917536:DNV917536 DXP917536:DXR917536 EHL917536:EHN917536 ERH917536:ERJ917536 FBD917536:FBF917536 FKZ917536:FLB917536 FUV917536:FUX917536 GER917536:GET917536 GON917536:GOP917536 GYJ917536:GYL917536 HIF917536:HIH917536 HSB917536:HSD917536 IBX917536:IBZ917536 ILT917536:ILV917536 IVP917536:IVR917536 JFL917536:JFN917536 JPH917536:JPJ917536 JZD917536:JZF917536 KIZ917536:KJB917536 KSV917536:KSX917536 LCR917536:LCT917536 LMN917536:LMP917536 LWJ917536:LWL917536 MGF917536:MGH917536 MQB917536:MQD917536 MZX917536:MZZ917536 NJT917536:NJV917536 NTP917536:NTR917536 ODL917536:ODN917536 ONH917536:ONJ917536 OXD917536:OXF917536 PGZ917536:PHB917536 PQV917536:PQX917536 QAR917536:QAT917536 QKN917536:QKP917536 QUJ917536:QUL917536 REF917536:REH917536 ROB917536:ROD917536 RXX917536:RXZ917536 SHT917536:SHV917536 SRP917536:SRR917536 TBL917536:TBN917536 TLH917536:TLJ917536 TVD917536:TVF917536 UEZ917536:UFB917536 UOV917536:UOX917536 UYR917536:UYT917536 VIN917536:VIP917536 VSJ917536:VSL917536 WCF917536:WCH917536 WMB917536:WMD917536 WVX917536:WVZ917536 G983072:I983072 JL983072:JN983072 TH983072:TJ983072 ADD983072:ADF983072 AMZ983072:ANB983072 AWV983072:AWX983072 BGR983072:BGT983072 BQN983072:BQP983072 CAJ983072:CAL983072 CKF983072:CKH983072 CUB983072:CUD983072 DDX983072:DDZ983072 DNT983072:DNV983072 DXP983072:DXR983072 EHL983072:EHN983072 ERH983072:ERJ983072 FBD983072:FBF983072 FKZ983072:FLB983072 FUV983072:FUX983072 GER983072:GET983072 GON983072:GOP983072 GYJ983072:GYL983072 HIF983072:HIH983072 HSB983072:HSD983072 IBX983072:IBZ983072 ILT983072:ILV983072 IVP983072:IVR983072 JFL983072:JFN983072 JPH983072:JPJ983072 JZD983072:JZF983072 KIZ983072:KJB983072 KSV983072:KSX983072 LCR983072:LCT983072 LMN983072:LMP983072 LWJ983072:LWL983072 MGF983072:MGH983072 MQB983072:MQD983072 MZX983072:MZZ983072 NJT983072:NJV983072 NTP983072:NTR983072 ODL983072:ODN983072 ONH983072:ONJ983072 OXD983072:OXF983072 PGZ983072:PHB983072 PQV983072:PQX983072 QAR983072:QAT983072 QKN983072:QKP983072 QUJ983072:QUL983072 REF983072:REH983072 ROB983072:ROD983072 RXX983072:RXZ983072 SHT983072:SHV983072 SRP983072:SRR983072 TBL983072:TBN983072 TLH983072:TLJ983072 TVD983072:TVF983072 UEZ983072:UFB983072 UOV983072:UOX983072 UYR983072:UYT983072 VIN983072:VIP983072 VSJ983072:VSL983072 WCF983072:WCH983072 WMB983072:WMD983072 WVX983072:WVZ983072 C10:F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C65567:F65567 JI65567:JK65567 TE65567:TG65567 ADA65567:ADC65567 AMW65567:AMY65567 AWS65567:AWU65567 BGO65567:BGQ65567 BQK65567:BQM65567 CAG65567:CAI65567 CKC65567:CKE65567 CTY65567:CUA65567 DDU65567:DDW65567 DNQ65567:DNS65567 DXM65567:DXO65567 EHI65567:EHK65567 ERE65567:ERG65567 FBA65567:FBC65567 FKW65567:FKY65567 FUS65567:FUU65567 GEO65567:GEQ65567 GOK65567:GOM65567 GYG65567:GYI65567 HIC65567:HIE65567 HRY65567:HSA65567 IBU65567:IBW65567 ILQ65567:ILS65567 IVM65567:IVO65567 JFI65567:JFK65567 JPE65567:JPG65567 JZA65567:JZC65567 KIW65567:KIY65567 KSS65567:KSU65567 LCO65567:LCQ65567 LMK65567:LMM65567 LWG65567:LWI65567 MGC65567:MGE65567 MPY65567:MQA65567 MZU65567:MZW65567 NJQ65567:NJS65567 NTM65567:NTO65567 ODI65567:ODK65567 ONE65567:ONG65567 OXA65567:OXC65567 PGW65567:PGY65567 PQS65567:PQU65567 QAO65567:QAQ65567 QKK65567:QKM65567 QUG65567:QUI65567 REC65567:REE65567 RNY65567:ROA65567 RXU65567:RXW65567 SHQ65567:SHS65567 SRM65567:SRO65567 TBI65567:TBK65567 TLE65567:TLG65567 TVA65567:TVC65567 UEW65567:UEY65567 UOS65567:UOU65567 UYO65567:UYQ65567 VIK65567:VIM65567 VSG65567:VSI65567 WCC65567:WCE65567 WLY65567:WMA65567 WVU65567:WVW65567 C131103:F131103 JI131103:JK131103 TE131103:TG131103 ADA131103:ADC131103 AMW131103:AMY131103 AWS131103:AWU131103 BGO131103:BGQ131103 BQK131103:BQM131103 CAG131103:CAI131103 CKC131103:CKE131103 CTY131103:CUA131103 DDU131103:DDW131103 DNQ131103:DNS131103 DXM131103:DXO131103 EHI131103:EHK131103 ERE131103:ERG131103 FBA131103:FBC131103 FKW131103:FKY131103 FUS131103:FUU131103 GEO131103:GEQ131103 GOK131103:GOM131103 GYG131103:GYI131103 HIC131103:HIE131103 HRY131103:HSA131103 IBU131103:IBW131103 ILQ131103:ILS131103 IVM131103:IVO131103 JFI131103:JFK131103 JPE131103:JPG131103 JZA131103:JZC131103 KIW131103:KIY131103 KSS131103:KSU131103 LCO131103:LCQ131103 LMK131103:LMM131103 LWG131103:LWI131103 MGC131103:MGE131103 MPY131103:MQA131103 MZU131103:MZW131103 NJQ131103:NJS131103 NTM131103:NTO131103 ODI131103:ODK131103 ONE131103:ONG131103 OXA131103:OXC131103 PGW131103:PGY131103 PQS131103:PQU131103 QAO131103:QAQ131103 QKK131103:QKM131103 QUG131103:QUI131103 REC131103:REE131103 RNY131103:ROA131103 RXU131103:RXW131103 SHQ131103:SHS131103 SRM131103:SRO131103 TBI131103:TBK131103 TLE131103:TLG131103 TVA131103:TVC131103 UEW131103:UEY131103 UOS131103:UOU131103 UYO131103:UYQ131103 VIK131103:VIM131103 VSG131103:VSI131103 WCC131103:WCE131103 WLY131103:WMA131103 WVU131103:WVW131103 C196639:F196639 JI196639:JK196639 TE196639:TG196639 ADA196639:ADC196639 AMW196639:AMY196639 AWS196639:AWU196639 BGO196639:BGQ196639 BQK196639:BQM196639 CAG196639:CAI196639 CKC196639:CKE196639 CTY196639:CUA196639 DDU196639:DDW196639 DNQ196639:DNS196639 DXM196639:DXO196639 EHI196639:EHK196639 ERE196639:ERG196639 FBA196639:FBC196639 FKW196639:FKY196639 FUS196639:FUU196639 GEO196639:GEQ196639 GOK196639:GOM196639 GYG196639:GYI196639 HIC196639:HIE196639 HRY196639:HSA196639 IBU196639:IBW196639 ILQ196639:ILS196639 IVM196639:IVO196639 JFI196639:JFK196639 JPE196639:JPG196639 JZA196639:JZC196639 KIW196639:KIY196639 KSS196639:KSU196639 LCO196639:LCQ196639 LMK196639:LMM196639 LWG196639:LWI196639 MGC196639:MGE196639 MPY196639:MQA196639 MZU196639:MZW196639 NJQ196639:NJS196639 NTM196639:NTO196639 ODI196639:ODK196639 ONE196639:ONG196639 OXA196639:OXC196639 PGW196639:PGY196639 PQS196639:PQU196639 QAO196639:QAQ196639 QKK196639:QKM196639 QUG196639:QUI196639 REC196639:REE196639 RNY196639:ROA196639 RXU196639:RXW196639 SHQ196639:SHS196639 SRM196639:SRO196639 TBI196639:TBK196639 TLE196639:TLG196639 TVA196639:TVC196639 UEW196639:UEY196639 UOS196639:UOU196639 UYO196639:UYQ196639 VIK196639:VIM196639 VSG196639:VSI196639 WCC196639:WCE196639 WLY196639:WMA196639 WVU196639:WVW196639 C262175:F262175 JI262175:JK262175 TE262175:TG262175 ADA262175:ADC262175 AMW262175:AMY262175 AWS262175:AWU262175 BGO262175:BGQ262175 BQK262175:BQM262175 CAG262175:CAI262175 CKC262175:CKE262175 CTY262175:CUA262175 DDU262175:DDW262175 DNQ262175:DNS262175 DXM262175:DXO262175 EHI262175:EHK262175 ERE262175:ERG262175 FBA262175:FBC262175 FKW262175:FKY262175 FUS262175:FUU262175 GEO262175:GEQ262175 GOK262175:GOM262175 GYG262175:GYI262175 HIC262175:HIE262175 HRY262175:HSA262175 IBU262175:IBW262175 ILQ262175:ILS262175 IVM262175:IVO262175 JFI262175:JFK262175 JPE262175:JPG262175 JZA262175:JZC262175 KIW262175:KIY262175 KSS262175:KSU262175 LCO262175:LCQ262175 LMK262175:LMM262175 LWG262175:LWI262175 MGC262175:MGE262175 MPY262175:MQA262175 MZU262175:MZW262175 NJQ262175:NJS262175 NTM262175:NTO262175 ODI262175:ODK262175 ONE262175:ONG262175 OXA262175:OXC262175 PGW262175:PGY262175 PQS262175:PQU262175 QAO262175:QAQ262175 QKK262175:QKM262175 QUG262175:QUI262175 REC262175:REE262175 RNY262175:ROA262175 RXU262175:RXW262175 SHQ262175:SHS262175 SRM262175:SRO262175 TBI262175:TBK262175 TLE262175:TLG262175 TVA262175:TVC262175 UEW262175:UEY262175 UOS262175:UOU262175 UYO262175:UYQ262175 VIK262175:VIM262175 VSG262175:VSI262175 WCC262175:WCE262175 WLY262175:WMA262175 WVU262175:WVW262175 C327711:F327711 JI327711:JK327711 TE327711:TG327711 ADA327711:ADC327711 AMW327711:AMY327711 AWS327711:AWU327711 BGO327711:BGQ327711 BQK327711:BQM327711 CAG327711:CAI327711 CKC327711:CKE327711 CTY327711:CUA327711 DDU327711:DDW327711 DNQ327711:DNS327711 DXM327711:DXO327711 EHI327711:EHK327711 ERE327711:ERG327711 FBA327711:FBC327711 FKW327711:FKY327711 FUS327711:FUU327711 GEO327711:GEQ327711 GOK327711:GOM327711 GYG327711:GYI327711 HIC327711:HIE327711 HRY327711:HSA327711 IBU327711:IBW327711 ILQ327711:ILS327711 IVM327711:IVO327711 JFI327711:JFK327711 JPE327711:JPG327711 JZA327711:JZC327711 KIW327711:KIY327711 KSS327711:KSU327711 LCO327711:LCQ327711 LMK327711:LMM327711 LWG327711:LWI327711 MGC327711:MGE327711 MPY327711:MQA327711 MZU327711:MZW327711 NJQ327711:NJS327711 NTM327711:NTO327711 ODI327711:ODK327711 ONE327711:ONG327711 OXA327711:OXC327711 PGW327711:PGY327711 PQS327711:PQU327711 QAO327711:QAQ327711 QKK327711:QKM327711 QUG327711:QUI327711 REC327711:REE327711 RNY327711:ROA327711 RXU327711:RXW327711 SHQ327711:SHS327711 SRM327711:SRO327711 TBI327711:TBK327711 TLE327711:TLG327711 TVA327711:TVC327711 UEW327711:UEY327711 UOS327711:UOU327711 UYO327711:UYQ327711 VIK327711:VIM327711 VSG327711:VSI327711 WCC327711:WCE327711 WLY327711:WMA327711 WVU327711:WVW327711 C393247:F393247 JI393247:JK393247 TE393247:TG393247 ADA393247:ADC393247 AMW393247:AMY393247 AWS393247:AWU393247 BGO393247:BGQ393247 BQK393247:BQM393247 CAG393247:CAI393247 CKC393247:CKE393247 CTY393247:CUA393247 DDU393247:DDW393247 DNQ393247:DNS393247 DXM393247:DXO393247 EHI393247:EHK393247 ERE393247:ERG393247 FBA393247:FBC393247 FKW393247:FKY393247 FUS393247:FUU393247 GEO393247:GEQ393247 GOK393247:GOM393247 GYG393247:GYI393247 HIC393247:HIE393247 HRY393247:HSA393247 IBU393247:IBW393247 ILQ393247:ILS393247 IVM393247:IVO393247 JFI393247:JFK393247 JPE393247:JPG393247 JZA393247:JZC393247 KIW393247:KIY393247 KSS393247:KSU393247 LCO393247:LCQ393247 LMK393247:LMM393247 LWG393247:LWI393247 MGC393247:MGE393247 MPY393247:MQA393247 MZU393247:MZW393247 NJQ393247:NJS393247 NTM393247:NTO393247 ODI393247:ODK393247 ONE393247:ONG393247 OXA393247:OXC393247 PGW393247:PGY393247 PQS393247:PQU393247 QAO393247:QAQ393247 QKK393247:QKM393247 QUG393247:QUI393247 REC393247:REE393247 RNY393247:ROA393247 RXU393247:RXW393247 SHQ393247:SHS393247 SRM393247:SRO393247 TBI393247:TBK393247 TLE393247:TLG393247 TVA393247:TVC393247 UEW393247:UEY393247 UOS393247:UOU393247 UYO393247:UYQ393247 VIK393247:VIM393247 VSG393247:VSI393247 WCC393247:WCE393247 WLY393247:WMA393247 WVU393247:WVW393247 C458783:F458783 JI458783:JK458783 TE458783:TG458783 ADA458783:ADC458783 AMW458783:AMY458783 AWS458783:AWU458783 BGO458783:BGQ458783 BQK458783:BQM458783 CAG458783:CAI458783 CKC458783:CKE458783 CTY458783:CUA458783 DDU458783:DDW458783 DNQ458783:DNS458783 DXM458783:DXO458783 EHI458783:EHK458783 ERE458783:ERG458783 FBA458783:FBC458783 FKW458783:FKY458783 FUS458783:FUU458783 GEO458783:GEQ458783 GOK458783:GOM458783 GYG458783:GYI458783 HIC458783:HIE458783 HRY458783:HSA458783 IBU458783:IBW458783 ILQ458783:ILS458783 IVM458783:IVO458783 JFI458783:JFK458783 JPE458783:JPG458783 JZA458783:JZC458783 KIW458783:KIY458783 KSS458783:KSU458783 LCO458783:LCQ458783 LMK458783:LMM458783 LWG458783:LWI458783 MGC458783:MGE458783 MPY458783:MQA458783 MZU458783:MZW458783 NJQ458783:NJS458783 NTM458783:NTO458783 ODI458783:ODK458783 ONE458783:ONG458783 OXA458783:OXC458783 PGW458783:PGY458783 PQS458783:PQU458783 QAO458783:QAQ458783 QKK458783:QKM458783 QUG458783:QUI458783 REC458783:REE458783 RNY458783:ROA458783 RXU458783:RXW458783 SHQ458783:SHS458783 SRM458783:SRO458783 TBI458783:TBK458783 TLE458783:TLG458783 TVA458783:TVC458783 UEW458783:UEY458783 UOS458783:UOU458783 UYO458783:UYQ458783 VIK458783:VIM458783 VSG458783:VSI458783 WCC458783:WCE458783 WLY458783:WMA458783 WVU458783:WVW458783 C524319:F524319 JI524319:JK524319 TE524319:TG524319 ADA524319:ADC524319 AMW524319:AMY524319 AWS524319:AWU524319 BGO524319:BGQ524319 BQK524319:BQM524319 CAG524319:CAI524319 CKC524319:CKE524319 CTY524319:CUA524319 DDU524319:DDW524319 DNQ524319:DNS524319 DXM524319:DXO524319 EHI524319:EHK524319 ERE524319:ERG524319 FBA524319:FBC524319 FKW524319:FKY524319 FUS524319:FUU524319 GEO524319:GEQ524319 GOK524319:GOM524319 GYG524319:GYI524319 HIC524319:HIE524319 HRY524319:HSA524319 IBU524319:IBW524319 ILQ524319:ILS524319 IVM524319:IVO524319 JFI524319:JFK524319 JPE524319:JPG524319 JZA524319:JZC524319 KIW524319:KIY524319 KSS524319:KSU524319 LCO524319:LCQ524319 LMK524319:LMM524319 LWG524319:LWI524319 MGC524319:MGE524319 MPY524319:MQA524319 MZU524319:MZW524319 NJQ524319:NJS524319 NTM524319:NTO524319 ODI524319:ODK524319 ONE524319:ONG524319 OXA524319:OXC524319 PGW524319:PGY524319 PQS524319:PQU524319 QAO524319:QAQ524319 QKK524319:QKM524319 QUG524319:QUI524319 REC524319:REE524319 RNY524319:ROA524319 RXU524319:RXW524319 SHQ524319:SHS524319 SRM524319:SRO524319 TBI524319:TBK524319 TLE524319:TLG524319 TVA524319:TVC524319 UEW524319:UEY524319 UOS524319:UOU524319 UYO524319:UYQ524319 VIK524319:VIM524319 VSG524319:VSI524319 WCC524319:WCE524319 WLY524319:WMA524319 WVU524319:WVW524319 C589855:F589855 JI589855:JK589855 TE589855:TG589855 ADA589855:ADC589855 AMW589855:AMY589855 AWS589855:AWU589855 BGO589855:BGQ589855 BQK589855:BQM589855 CAG589855:CAI589855 CKC589855:CKE589855 CTY589855:CUA589855 DDU589855:DDW589855 DNQ589855:DNS589855 DXM589855:DXO589855 EHI589855:EHK589855 ERE589855:ERG589855 FBA589855:FBC589855 FKW589855:FKY589855 FUS589855:FUU589855 GEO589855:GEQ589855 GOK589855:GOM589855 GYG589855:GYI589855 HIC589855:HIE589855 HRY589855:HSA589855 IBU589855:IBW589855 ILQ589855:ILS589855 IVM589855:IVO589855 JFI589855:JFK589855 JPE589855:JPG589855 JZA589855:JZC589855 KIW589855:KIY589855 KSS589855:KSU589855 LCO589855:LCQ589855 LMK589855:LMM589855 LWG589855:LWI589855 MGC589855:MGE589855 MPY589855:MQA589855 MZU589855:MZW589855 NJQ589855:NJS589855 NTM589855:NTO589855 ODI589855:ODK589855 ONE589855:ONG589855 OXA589855:OXC589855 PGW589855:PGY589855 PQS589855:PQU589855 QAO589855:QAQ589855 QKK589855:QKM589855 QUG589855:QUI589855 REC589855:REE589855 RNY589855:ROA589855 RXU589855:RXW589855 SHQ589855:SHS589855 SRM589855:SRO589855 TBI589855:TBK589855 TLE589855:TLG589855 TVA589855:TVC589855 UEW589855:UEY589855 UOS589855:UOU589855 UYO589855:UYQ589855 VIK589855:VIM589855 VSG589855:VSI589855 WCC589855:WCE589855 WLY589855:WMA589855 WVU589855:WVW589855 C655391:F655391 JI655391:JK655391 TE655391:TG655391 ADA655391:ADC655391 AMW655391:AMY655391 AWS655391:AWU655391 BGO655391:BGQ655391 BQK655391:BQM655391 CAG655391:CAI655391 CKC655391:CKE655391 CTY655391:CUA655391 DDU655391:DDW655391 DNQ655391:DNS655391 DXM655391:DXO655391 EHI655391:EHK655391 ERE655391:ERG655391 FBA655391:FBC655391 FKW655391:FKY655391 FUS655391:FUU655391 GEO655391:GEQ655391 GOK655391:GOM655391 GYG655391:GYI655391 HIC655391:HIE655391 HRY655391:HSA655391 IBU655391:IBW655391 ILQ655391:ILS655391 IVM655391:IVO655391 JFI655391:JFK655391 JPE655391:JPG655391 JZA655391:JZC655391 KIW655391:KIY655391 KSS655391:KSU655391 LCO655391:LCQ655391 LMK655391:LMM655391 LWG655391:LWI655391 MGC655391:MGE655391 MPY655391:MQA655391 MZU655391:MZW655391 NJQ655391:NJS655391 NTM655391:NTO655391 ODI655391:ODK655391 ONE655391:ONG655391 OXA655391:OXC655391 PGW655391:PGY655391 PQS655391:PQU655391 QAO655391:QAQ655391 QKK655391:QKM655391 QUG655391:QUI655391 REC655391:REE655391 RNY655391:ROA655391 RXU655391:RXW655391 SHQ655391:SHS655391 SRM655391:SRO655391 TBI655391:TBK655391 TLE655391:TLG655391 TVA655391:TVC655391 UEW655391:UEY655391 UOS655391:UOU655391 UYO655391:UYQ655391 VIK655391:VIM655391 VSG655391:VSI655391 WCC655391:WCE655391 WLY655391:WMA655391 WVU655391:WVW655391 C720927:F720927 JI720927:JK720927 TE720927:TG720927 ADA720927:ADC720927 AMW720927:AMY720927 AWS720927:AWU720927 BGO720927:BGQ720927 BQK720927:BQM720927 CAG720927:CAI720927 CKC720927:CKE720927 CTY720927:CUA720927 DDU720927:DDW720927 DNQ720927:DNS720927 DXM720927:DXO720927 EHI720927:EHK720927 ERE720927:ERG720927 FBA720927:FBC720927 FKW720927:FKY720927 FUS720927:FUU720927 GEO720927:GEQ720927 GOK720927:GOM720927 GYG720927:GYI720927 HIC720927:HIE720927 HRY720927:HSA720927 IBU720927:IBW720927 ILQ720927:ILS720927 IVM720927:IVO720927 JFI720927:JFK720927 JPE720927:JPG720927 JZA720927:JZC720927 KIW720927:KIY720927 KSS720927:KSU720927 LCO720927:LCQ720927 LMK720927:LMM720927 LWG720927:LWI720927 MGC720927:MGE720927 MPY720927:MQA720927 MZU720927:MZW720927 NJQ720927:NJS720927 NTM720927:NTO720927 ODI720927:ODK720927 ONE720927:ONG720927 OXA720927:OXC720927 PGW720927:PGY720927 PQS720927:PQU720927 QAO720927:QAQ720927 QKK720927:QKM720927 QUG720927:QUI720927 REC720927:REE720927 RNY720927:ROA720927 RXU720927:RXW720927 SHQ720927:SHS720927 SRM720927:SRO720927 TBI720927:TBK720927 TLE720927:TLG720927 TVA720927:TVC720927 UEW720927:UEY720927 UOS720927:UOU720927 UYO720927:UYQ720927 VIK720927:VIM720927 VSG720927:VSI720927 WCC720927:WCE720927 WLY720927:WMA720927 WVU720927:WVW720927 C786463:F786463 JI786463:JK786463 TE786463:TG786463 ADA786463:ADC786463 AMW786463:AMY786463 AWS786463:AWU786463 BGO786463:BGQ786463 BQK786463:BQM786463 CAG786463:CAI786463 CKC786463:CKE786463 CTY786463:CUA786463 DDU786463:DDW786463 DNQ786463:DNS786463 DXM786463:DXO786463 EHI786463:EHK786463 ERE786463:ERG786463 FBA786463:FBC786463 FKW786463:FKY786463 FUS786463:FUU786463 GEO786463:GEQ786463 GOK786463:GOM786463 GYG786463:GYI786463 HIC786463:HIE786463 HRY786463:HSA786463 IBU786463:IBW786463 ILQ786463:ILS786463 IVM786463:IVO786463 JFI786463:JFK786463 JPE786463:JPG786463 JZA786463:JZC786463 KIW786463:KIY786463 KSS786463:KSU786463 LCO786463:LCQ786463 LMK786463:LMM786463 LWG786463:LWI786463 MGC786463:MGE786463 MPY786463:MQA786463 MZU786463:MZW786463 NJQ786463:NJS786463 NTM786463:NTO786463 ODI786463:ODK786463 ONE786463:ONG786463 OXA786463:OXC786463 PGW786463:PGY786463 PQS786463:PQU786463 QAO786463:QAQ786463 QKK786463:QKM786463 QUG786463:QUI786463 REC786463:REE786463 RNY786463:ROA786463 RXU786463:RXW786463 SHQ786463:SHS786463 SRM786463:SRO786463 TBI786463:TBK786463 TLE786463:TLG786463 TVA786463:TVC786463 UEW786463:UEY786463 UOS786463:UOU786463 UYO786463:UYQ786463 VIK786463:VIM786463 VSG786463:VSI786463 WCC786463:WCE786463 WLY786463:WMA786463 WVU786463:WVW786463 C851999:F851999 JI851999:JK851999 TE851999:TG851999 ADA851999:ADC851999 AMW851999:AMY851999 AWS851999:AWU851999 BGO851999:BGQ851999 BQK851999:BQM851999 CAG851999:CAI851999 CKC851999:CKE851999 CTY851999:CUA851999 DDU851999:DDW851999 DNQ851999:DNS851999 DXM851999:DXO851999 EHI851999:EHK851999 ERE851999:ERG851999 FBA851999:FBC851999 FKW851999:FKY851999 FUS851999:FUU851999 GEO851999:GEQ851999 GOK851999:GOM851999 GYG851999:GYI851999 HIC851999:HIE851999 HRY851999:HSA851999 IBU851999:IBW851999 ILQ851999:ILS851999 IVM851999:IVO851999 JFI851999:JFK851999 JPE851999:JPG851999 JZA851999:JZC851999 KIW851999:KIY851999 KSS851999:KSU851999 LCO851999:LCQ851999 LMK851999:LMM851999 LWG851999:LWI851999 MGC851999:MGE851999 MPY851999:MQA851999 MZU851999:MZW851999 NJQ851999:NJS851999 NTM851999:NTO851999 ODI851999:ODK851999 ONE851999:ONG851999 OXA851999:OXC851999 PGW851999:PGY851999 PQS851999:PQU851999 QAO851999:QAQ851999 QKK851999:QKM851999 QUG851999:QUI851999 REC851999:REE851999 RNY851999:ROA851999 RXU851999:RXW851999 SHQ851999:SHS851999 SRM851999:SRO851999 TBI851999:TBK851999 TLE851999:TLG851999 TVA851999:TVC851999 UEW851999:UEY851999 UOS851999:UOU851999 UYO851999:UYQ851999 VIK851999:VIM851999 VSG851999:VSI851999 WCC851999:WCE851999 WLY851999:WMA851999 WVU851999:WVW851999 C917535:F917535 JI917535:JK917535 TE917535:TG917535 ADA917535:ADC917535 AMW917535:AMY917535 AWS917535:AWU917535 BGO917535:BGQ917535 BQK917535:BQM917535 CAG917535:CAI917535 CKC917535:CKE917535 CTY917535:CUA917535 DDU917535:DDW917535 DNQ917535:DNS917535 DXM917535:DXO917535 EHI917535:EHK917535 ERE917535:ERG917535 FBA917535:FBC917535 FKW917535:FKY917535 FUS917535:FUU917535 GEO917535:GEQ917535 GOK917535:GOM917535 GYG917535:GYI917535 HIC917535:HIE917535 HRY917535:HSA917535 IBU917535:IBW917535 ILQ917535:ILS917535 IVM917535:IVO917535 JFI917535:JFK917535 JPE917535:JPG917535 JZA917535:JZC917535 KIW917535:KIY917535 KSS917535:KSU917535 LCO917535:LCQ917535 LMK917535:LMM917535 LWG917535:LWI917535 MGC917535:MGE917535 MPY917535:MQA917535 MZU917535:MZW917535 NJQ917535:NJS917535 NTM917535:NTO917535 ODI917535:ODK917535 ONE917535:ONG917535 OXA917535:OXC917535 PGW917535:PGY917535 PQS917535:PQU917535 QAO917535:QAQ917535 QKK917535:QKM917535 QUG917535:QUI917535 REC917535:REE917535 RNY917535:ROA917535 RXU917535:RXW917535 SHQ917535:SHS917535 SRM917535:SRO917535 TBI917535:TBK917535 TLE917535:TLG917535 TVA917535:TVC917535 UEW917535:UEY917535 UOS917535:UOU917535 UYO917535:UYQ917535 VIK917535:VIM917535 VSG917535:VSI917535 WCC917535:WCE917535 WLY917535:WMA917535 WVU917535:WVW917535 C983071:F983071 JI983071:JK983071 TE983071:TG983071 ADA983071:ADC983071 AMW983071:AMY983071 AWS983071:AWU983071 BGO983071:BGQ983071 BQK983071:BQM983071 CAG983071:CAI983071 CKC983071:CKE983071 CTY983071:CUA983071 DDU983071:DDW983071 DNQ983071:DNS983071 DXM983071:DXO983071 EHI983071:EHK983071 ERE983071:ERG983071 FBA983071:FBC983071 FKW983071:FKY983071 FUS983071:FUU983071 GEO983071:GEQ983071 GOK983071:GOM983071 GYG983071:GYI983071 HIC983071:HIE983071 HRY983071:HSA983071 IBU983071:IBW983071 ILQ983071:ILS983071 IVM983071:IVO983071 JFI983071:JFK983071 JPE983071:JPG983071 JZA983071:JZC983071 KIW983071:KIY983071 KSS983071:KSU983071 LCO983071:LCQ983071 LMK983071:LMM983071 LWG983071:LWI983071 MGC983071:MGE983071 MPY983071:MQA983071 MZU983071:MZW983071 NJQ983071:NJS983071 NTM983071:NTO983071 ODI983071:ODK983071 ONE983071:ONG983071 OXA983071:OXC983071 PGW983071:PGY983071 PQS983071:PQU983071 QAO983071:QAQ983071 QKK983071:QKM983071 QUG983071:QUI983071 REC983071:REE983071 RNY983071:ROA983071 RXU983071:RXW983071 SHQ983071:SHS983071 SRM983071:SRO983071 TBI983071:TBK983071 TLE983071:TLG983071 TVA983071:TVC983071 UEW983071:UEY983071 UOS983071:UOU983071 UYO983071:UYQ983071 VIK983071:VIM983071 VSG983071:VSI983071 WCC983071:WCE983071 WLY983071:WMA983071 WVU983071:WVW983071 WVX11:WVZ11 WMB11:WMD11 WCF11:WCH11 VSJ11:VSL11 VIN11:VIP11 UYR11:UYT11 UOV11:UOX11 UEZ11:UFB11 TVD11:TVF11 TLH11:TLJ11 TBL11:TBN11 SRP11:SRR11 SHT11:SHV11 RXX11:RXZ11 ROB11:ROD11 REF11:REH11 QUJ11:QUL11 QKN11:QKP11 QAR11:QAT11 PQV11:PQX11 PGZ11:PHB11 OXD11:OXF11 ONH11:ONJ11 ODL11:ODN11 NTP11:NTR11 NJT11:NJV11 MZX11:MZZ11 MQB11:MQD11 MGF11:MGH11 LWJ11:LWL11 LMN11:LMP11 LCR11:LCT11 KSV11:KSX11 KIZ11:KJB11 JZD11:JZF11 JPH11:JPJ11 JFL11:JFN11 IVP11:IVR11 ILT11:ILV11 IBX11:IBZ11 HSB11:HSD11 HIF11:HIH11 GYJ11:GYL11 GON11:GOP11 GER11:GET11 FUV11:FUX11 FKZ11:FLB11 FBD11:FBF11 ERH11:ERJ11 EHL11:EHN11 DXP11:DXR11 DNT11:DNV11 DDX11:DDZ11 CUB11:CUD11 CKF11:CKH11 CAJ11:CAL11 BQN11:BQP11 BGR11:BGT11 AWV11:AWX11 AMZ11:ANB11 ADD11:ADF11 TH11:TJ11 JL11:JN11 G11:I11" xr:uid="{00000000-0002-0000-0000-000006000000}"/>
  </dataValidations>
  <hyperlinks>
    <hyperlink ref="AC1" location="ins" display="Instructivo" xr:uid="{00000000-0004-0000-0000-000000000000}"/>
  </hyperlinks>
  <printOptions horizontalCentered="1" verticalCentered="1"/>
  <pageMargins left="0.19685039370078741" right="0.19685039370078741" top="0.59055118110236227" bottom="0.19685039370078741" header="0.39370078740157483" footer="0"/>
  <pageSetup scale="56"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M10"/>
  <sheetViews>
    <sheetView topLeftCell="A13" zoomScale="83" zoomScaleNormal="83" workbookViewId="0">
      <selection activeCell="G4" sqref="G4"/>
    </sheetView>
  </sheetViews>
  <sheetFormatPr baseColWidth="10" defaultColWidth="21.83203125" defaultRowHeight="164.45" customHeight="1"/>
  <cols>
    <col min="8" max="9" width="0" hidden="1" customWidth="1"/>
    <col min="11" max="12" width="0" hidden="1" customWidth="1"/>
  </cols>
  <sheetData>
    <row r="1" spans="1:13" ht="12.75" customHeight="1">
      <c r="A1" s="1287" t="s">
        <v>435</v>
      </c>
      <c r="B1" s="1290" t="s">
        <v>817</v>
      </c>
      <c r="C1" s="1290"/>
      <c r="D1" s="1290"/>
      <c r="E1" s="1290"/>
      <c r="F1" s="1290"/>
      <c r="G1" s="1290"/>
      <c r="H1" s="1290"/>
      <c r="I1" s="1290"/>
      <c r="J1" s="1290"/>
      <c r="K1" s="1290"/>
      <c r="L1" s="1290"/>
      <c r="M1" s="1290"/>
    </row>
    <row r="2" spans="1:13" ht="12.75">
      <c r="A2" s="1288"/>
      <c r="B2" s="610">
        <v>1</v>
      </c>
      <c r="C2" s="610">
        <v>2</v>
      </c>
      <c r="D2" s="610">
        <v>3</v>
      </c>
      <c r="E2" s="610">
        <v>4</v>
      </c>
      <c r="F2" s="1344" t="s">
        <v>650</v>
      </c>
      <c r="G2" s="1345"/>
      <c r="H2" s="925" t="s">
        <v>815</v>
      </c>
      <c r="I2" s="925"/>
      <c r="J2" s="925"/>
      <c r="K2" s="925" t="s">
        <v>816</v>
      </c>
      <c r="L2" s="925"/>
      <c r="M2" s="925"/>
    </row>
    <row r="3" spans="1:13" ht="24">
      <c r="A3" s="1289"/>
      <c r="B3" s="610" t="s">
        <v>908</v>
      </c>
      <c r="C3" s="610" t="s">
        <v>902</v>
      </c>
      <c r="D3" s="610" t="s">
        <v>903</v>
      </c>
      <c r="E3" s="610" t="s">
        <v>904</v>
      </c>
      <c r="F3" s="610" t="s">
        <v>654</v>
      </c>
      <c r="G3" s="610" t="s">
        <v>655</v>
      </c>
      <c r="H3" s="610" t="s">
        <v>812</v>
      </c>
      <c r="I3" s="610" t="s">
        <v>813</v>
      </c>
      <c r="J3" s="610" t="s">
        <v>814</v>
      </c>
      <c r="K3" s="610" t="s">
        <v>812</v>
      </c>
      <c r="L3" s="610" t="s">
        <v>813</v>
      </c>
      <c r="M3" s="610" t="s">
        <v>814</v>
      </c>
    </row>
    <row r="4" spans="1:13" ht="164.45" customHeight="1">
      <c r="A4" s="608" t="s">
        <v>658</v>
      </c>
      <c r="B4" s="609">
        <v>5536</v>
      </c>
      <c r="C4" s="609">
        <v>7578</v>
      </c>
      <c r="D4" s="609">
        <v>10000</v>
      </c>
      <c r="E4" s="609">
        <v>8330</v>
      </c>
      <c r="F4" s="762">
        <f>AVERAGE(B4:E4)</f>
        <v>7861</v>
      </c>
      <c r="G4" s="762">
        <f>AVERAGE(C4:E4)</f>
        <v>8636</v>
      </c>
      <c r="H4" s="923">
        <f>+_xlfn.VAR.P(B4:E4)</f>
        <v>2570249</v>
      </c>
      <c r="I4" s="923">
        <f>+SQRT(H4)</f>
        <v>1603.1996132734064</v>
      </c>
      <c r="J4" s="924">
        <f>+I4/F4</f>
        <v>0.2039434694407081</v>
      </c>
      <c r="K4" s="923">
        <f>+_xlfn.VAR.P(C4:E4)</f>
        <v>1024498.6666666666</v>
      </c>
      <c r="L4" s="923">
        <f>+SQRT(K4)</f>
        <v>1012.1752153983354</v>
      </c>
      <c r="M4" s="924">
        <f>+L4/G4</f>
        <v>0.11720417037961271</v>
      </c>
    </row>
    <row r="5" spans="1:13" ht="164.45" customHeight="1">
      <c r="A5" s="608" t="s">
        <v>659</v>
      </c>
      <c r="B5" s="609">
        <v>5536</v>
      </c>
      <c r="C5" s="609">
        <v>8362</v>
      </c>
      <c r="D5" s="609">
        <v>10000</v>
      </c>
      <c r="E5" s="609">
        <v>8330</v>
      </c>
      <c r="F5" s="762">
        <f t="shared" ref="F5:F10" si="0">AVERAGE(B5:D5)</f>
        <v>7966</v>
      </c>
      <c r="G5" s="762">
        <f t="shared" ref="G5:G10" si="1">AVERAGE(C5:E5)</f>
        <v>8897.3333333333339</v>
      </c>
      <c r="H5" s="923">
        <f t="shared" ref="H5:H10" si="2">+_xlfn.VAR.P(B5:E5)</f>
        <v>2574561</v>
      </c>
      <c r="I5" s="923">
        <f t="shared" ref="I5:I10" si="3">+SQRT(H5)</f>
        <v>1604.5438604164112</v>
      </c>
      <c r="J5" s="924">
        <f t="shared" ref="J5:J10" si="4">+I5/F5</f>
        <v>0.20142403469952438</v>
      </c>
      <c r="K5" s="923">
        <f t="shared" ref="K5:K10" si="5">+_xlfn.VAR.P(C5:E5)</f>
        <v>608107.5555555555</v>
      </c>
      <c r="L5" s="923">
        <f t="shared" ref="L5:L10" si="6">+SQRT(K5)</f>
        <v>779.81251307962191</v>
      </c>
      <c r="M5" s="924">
        <f t="shared" ref="M5:M10" si="7">+L5/G5</f>
        <v>8.7645644359316113E-2</v>
      </c>
    </row>
    <row r="6" spans="1:13" ht="164.45" customHeight="1">
      <c r="A6" s="608" t="s">
        <v>660</v>
      </c>
      <c r="B6" s="609">
        <v>5536</v>
      </c>
      <c r="C6" s="609">
        <v>9059</v>
      </c>
      <c r="D6" s="609">
        <v>10000</v>
      </c>
      <c r="E6" s="609">
        <v>8330</v>
      </c>
      <c r="F6" s="762">
        <f t="shared" si="0"/>
        <v>8198.3333333333339</v>
      </c>
      <c r="G6" s="762">
        <f t="shared" si="1"/>
        <v>9129.6666666666661</v>
      </c>
      <c r="H6" s="923">
        <f t="shared" si="2"/>
        <v>2771942.6875</v>
      </c>
      <c r="I6" s="923">
        <f t="shared" si="3"/>
        <v>1664.9152193129835</v>
      </c>
      <c r="J6" s="924">
        <f t="shared" si="4"/>
        <v>0.20307971774502745</v>
      </c>
      <c r="K6" s="923">
        <f t="shared" si="5"/>
        <v>467313.5555555555</v>
      </c>
      <c r="L6" s="923">
        <f t="shared" si="6"/>
        <v>683.60336128163931</v>
      </c>
      <c r="M6" s="924">
        <f t="shared" si="7"/>
        <v>7.4877143519110526E-2</v>
      </c>
    </row>
    <row r="7" spans="1:13" ht="164.45" customHeight="1">
      <c r="A7" s="608" t="s">
        <v>661</v>
      </c>
      <c r="B7" s="609">
        <v>5536</v>
      </c>
      <c r="C7" s="609">
        <v>9756</v>
      </c>
      <c r="D7" s="609">
        <v>15000</v>
      </c>
      <c r="E7" s="609">
        <v>8330</v>
      </c>
      <c r="F7" s="762">
        <f t="shared" si="0"/>
        <v>10097.333333333334</v>
      </c>
      <c r="G7" s="762">
        <f t="shared" si="1"/>
        <v>11028.666666666666</v>
      </c>
      <c r="H7" s="923">
        <f t="shared" si="2"/>
        <v>11825252.75</v>
      </c>
      <c r="I7" s="923">
        <f t="shared" si="3"/>
        <v>3438.7865228885612</v>
      </c>
      <c r="J7" s="924">
        <f t="shared" si="4"/>
        <v>0.34056383100045168</v>
      </c>
      <c r="K7" s="923">
        <f t="shared" si="5"/>
        <v>8224656.888888889</v>
      </c>
      <c r="L7" s="923">
        <f t="shared" si="6"/>
        <v>2867.8662606350545</v>
      </c>
      <c r="M7" s="924">
        <f t="shared" si="7"/>
        <v>0.26003744127138861</v>
      </c>
    </row>
    <row r="8" spans="1:13" ht="170.45" customHeight="1">
      <c r="A8" s="608" t="s">
        <v>662</v>
      </c>
      <c r="B8" s="609">
        <v>5536</v>
      </c>
      <c r="C8" s="609">
        <v>10279</v>
      </c>
      <c r="D8" s="609">
        <v>20000</v>
      </c>
      <c r="E8" s="609">
        <v>8330</v>
      </c>
      <c r="F8" s="762">
        <f t="shared" si="0"/>
        <v>11938.333333333334</v>
      </c>
      <c r="G8" s="762">
        <f t="shared" si="1"/>
        <v>12869.666666666666</v>
      </c>
      <c r="H8" s="923">
        <f t="shared" si="2"/>
        <v>29624695.1875</v>
      </c>
      <c r="I8" s="923">
        <f t="shared" si="3"/>
        <v>5442.8572631936622</v>
      </c>
      <c r="J8" s="924">
        <f t="shared" si="4"/>
        <v>0.45591433169289364</v>
      </c>
      <c r="K8" s="923">
        <f t="shared" si="5"/>
        <v>26053926.888888888</v>
      </c>
      <c r="L8" s="923">
        <f t="shared" si="6"/>
        <v>5104.304740989598</v>
      </c>
      <c r="M8" s="924">
        <f t="shared" si="7"/>
        <v>0.39661514732235476</v>
      </c>
    </row>
    <row r="9" spans="1:13" ht="174" customHeight="1">
      <c r="A9" s="608" t="s">
        <v>663</v>
      </c>
      <c r="B9" s="609">
        <v>5536</v>
      </c>
      <c r="C9" s="609">
        <v>11324</v>
      </c>
      <c r="D9" s="609">
        <v>22000</v>
      </c>
      <c r="E9" s="609">
        <v>8330</v>
      </c>
      <c r="F9" s="762">
        <f t="shared" si="0"/>
        <v>12953.333333333334</v>
      </c>
      <c r="G9" s="762">
        <f t="shared" si="1"/>
        <v>13884.666666666666</v>
      </c>
      <c r="H9" s="923">
        <f t="shared" si="2"/>
        <v>38886286.75</v>
      </c>
      <c r="I9" s="923">
        <f t="shared" si="3"/>
        <v>6235.8870058717384</v>
      </c>
      <c r="J9" s="924">
        <f t="shared" si="4"/>
        <v>0.48141176061799318</v>
      </c>
      <c r="K9" s="923">
        <f t="shared" si="5"/>
        <v>34423323.555555552</v>
      </c>
      <c r="L9" s="923">
        <f t="shared" si="6"/>
        <v>5867.1392991436251</v>
      </c>
      <c r="M9" s="924">
        <f t="shared" si="7"/>
        <v>0.42256248853485562</v>
      </c>
    </row>
    <row r="10" spans="1:13" ht="174" customHeight="1">
      <c r="A10" s="608" t="s">
        <v>664</v>
      </c>
      <c r="B10" s="609">
        <v>5536</v>
      </c>
      <c r="C10" s="906" t="s">
        <v>807</v>
      </c>
      <c r="D10" s="609">
        <v>28000</v>
      </c>
      <c r="E10" s="609">
        <v>8330</v>
      </c>
      <c r="F10" s="762">
        <f t="shared" si="0"/>
        <v>16768</v>
      </c>
      <c r="G10" s="762">
        <f t="shared" si="1"/>
        <v>18165</v>
      </c>
      <c r="H10" s="923">
        <f t="shared" si="2"/>
        <v>99927403.555555552</v>
      </c>
      <c r="I10" s="923">
        <f t="shared" si="3"/>
        <v>9996.3695187580761</v>
      </c>
      <c r="J10" s="924">
        <f t="shared" si="4"/>
        <v>0.59615753332288146</v>
      </c>
      <c r="K10" s="923">
        <f t="shared" si="5"/>
        <v>96727225</v>
      </c>
      <c r="L10" s="923">
        <f t="shared" si="6"/>
        <v>9835</v>
      </c>
      <c r="M10" s="924">
        <f t="shared" si="7"/>
        <v>0.54142581888246633</v>
      </c>
    </row>
  </sheetData>
  <sheetProtection algorithmName="SHA-512" hashValue="l9BQw6AEHi8pCuczcl5jwm118M+Sl/YLNnYOdcfl4NkqpLqg9hUBLzgjB/bAQdUAhRnOfkSQZQXGhg9CzmFDFg==" saltValue="InRxKdL+5Sf6eaPhzew9aA==" spinCount="100000" sheet="1" formatCells="0" formatColumns="0" formatRows="0" insertColumns="0" insertRows="0" insertHyperlinks="0" deleteColumns="0" deleteRows="0" sort="0" autoFilter="0" pivotTables="0"/>
  <mergeCells count="3">
    <mergeCell ref="A1:A3"/>
    <mergeCell ref="F2:G2"/>
    <mergeCell ref="B1:M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B27"/>
  <sheetViews>
    <sheetView topLeftCell="A13" workbookViewId="0">
      <selection activeCell="F30" sqref="F30"/>
    </sheetView>
  </sheetViews>
  <sheetFormatPr baseColWidth="10" defaultColWidth="10.6640625" defaultRowHeight="10.5"/>
  <cols>
    <col min="1" max="1" width="6.33203125" style="408" customWidth="1"/>
    <col min="2" max="2" width="39.33203125" style="408" customWidth="1"/>
    <col min="3" max="3" width="19.33203125" style="408" customWidth="1"/>
    <col min="4" max="4" width="13.6640625" style="408" customWidth="1"/>
    <col min="5" max="5" width="1" style="408" customWidth="1"/>
    <col min="6" max="6" width="24" style="408" customWidth="1"/>
    <col min="7" max="7" width="1.1640625" style="408" customWidth="1"/>
    <col min="8" max="16384" width="10.6640625" style="408"/>
  </cols>
  <sheetData>
    <row r="1" spans="1:7" ht="22.5" customHeight="1" thickBot="1">
      <c r="A1" s="1346" t="s">
        <v>763</v>
      </c>
      <c r="B1" s="1346"/>
      <c r="C1" s="1346"/>
      <c r="D1" s="1346"/>
      <c r="E1" s="1346"/>
      <c r="F1" s="1346"/>
    </row>
    <row r="2" spans="1:7" ht="17.100000000000001" customHeight="1">
      <c r="A2" s="409"/>
      <c r="B2" s="410"/>
      <c r="C2" s="411" t="s">
        <v>764</v>
      </c>
      <c r="D2" s="412" t="s">
        <v>765</v>
      </c>
      <c r="E2" s="413"/>
      <c r="F2" s="414" t="s">
        <v>766</v>
      </c>
      <c r="G2" s="415" t="s">
        <v>170</v>
      </c>
    </row>
    <row r="3" spans="1:7" ht="12.75">
      <c r="A3" s="416" t="s">
        <v>767</v>
      </c>
      <c r="B3" s="417" t="s">
        <v>768</v>
      </c>
      <c r="C3" s="418"/>
      <c r="D3" s="419"/>
      <c r="E3" s="418"/>
      <c r="F3" s="420"/>
      <c r="G3" s="421"/>
    </row>
    <row r="4" spans="1:7" ht="17.100000000000001" customHeight="1">
      <c r="A4" s="422" t="s">
        <v>769</v>
      </c>
      <c r="B4" s="423" t="s">
        <v>770</v>
      </c>
      <c r="C4" s="418"/>
      <c r="D4" s="423" t="s">
        <v>771</v>
      </c>
      <c r="E4" s="424"/>
      <c r="F4" s="425" t="s">
        <v>170</v>
      </c>
      <c r="G4" s="426"/>
    </row>
    <row r="5" spans="1:7" ht="12.75">
      <c r="A5" s="427" t="s">
        <v>170</v>
      </c>
      <c r="B5" s="418" t="s">
        <v>772</v>
      </c>
      <c r="C5" s="418" t="s">
        <v>771</v>
      </c>
      <c r="E5" s="418"/>
      <c r="F5" s="428"/>
      <c r="G5" s="426"/>
    </row>
    <row r="6" spans="1:7" ht="12.75">
      <c r="A6" s="427"/>
      <c r="B6" s="418"/>
      <c r="C6" s="418"/>
      <c r="E6" s="418"/>
      <c r="F6" s="428"/>
      <c r="G6" s="426"/>
    </row>
    <row r="7" spans="1:7" ht="12.75">
      <c r="A7" s="422" t="s">
        <v>773</v>
      </c>
      <c r="B7" s="423" t="s">
        <v>774</v>
      </c>
      <c r="D7" s="423" t="s">
        <v>771</v>
      </c>
      <c r="E7" s="423" t="s">
        <v>170</v>
      </c>
      <c r="F7" s="425" t="s">
        <v>170</v>
      </c>
      <c r="G7" s="426"/>
    </row>
    <row r="8" spans="1:7" ht="12" customHeight="1">
      <c r="A8" s="427" t="s">
        <v>775</v>
      </c>
      <c r="B8" s="418" t="s">
        <v>776</v>
      </c>
      <c r="C8" s="418" t="s">
        <v>771</v>
      </c>
      <c r="E8" s="418"/>
      <c r="F8" s="428">
        <v>0.5</v>
      </c>
      <c r="G8" s="426"/>
    </row>
    <row r="9" spans="1:7" ht="12.75">
      <c r="A9" s="427" t="s">
        <v>777</v>
      </c>
      <c r="B9" s="418" t="s">
        <v>778</v>
      </c>
      <c r="C9" s="418" t="s">
        <v>771</v>
      </c>
      <c r="E9" s="418"/>
      <c r="F9" s="428">
        <v>16.5</v>
      </c>
      <c r="G9" s="426"/>
    </row>
    <row r="10" spans="1:7" ht="12.75">
      <c r="A10" s="427" t="s">
        <v>779</v>
      </c>
      <c r="B10" s="418" t="s">
        <v>772</v>
      </c>
      <c r="C10" s="418" t="s">
        <v>771</v>
      </c>
      <c r="E10" s="418"/>
      <c r="F10" s="428"/>
      <c r="G10" s="426"/>
    </row>
    <row r="11" spans="1:7" ht="12.75">
      <c r="A11" s="422"/>
      <c r="B11" s="423" t="s">
        <v>235</v>
      </c>
      <c r="C11" s="423"/>
      <c r="D11" s="424"/>
      <c r="E11" s="423"/>
      <c r="F11" s="429">
        <v>17</v>
      </c>
      <c r="G11" s="426"/>
    </row>
    <row r="12" spans="1:7" ht="12.75">
      <c r="A12" s="430" t="s">
        <v>780</v>
      </c>
      <c r="B12" s="423" t="s">
        <v>781</v>
      </c>
      <c r="D12" s="423" t="s">
        <v>771</v>
      </c>
      <c r="E12" s="423" t="s">
        <v>170</v>
      </c>
      <c r="F12" s="425" t="s">
        <v>170</v>
      </c>
      <c r="G12" s="431"/>
    </row>
    <row r="13" spans="1:7" ht="12.75">
      <c r="A13" s="432" t="s">
        <v>782</v>
      </c>
      <c r="B13" s="418" t="s">
        <v>783</v>
      </c>
      <c r="C13" s="418" t="s">
        <v>771</v>
      </c>
      <c r="F13" s="433"/>
      <c r="G13" s="431"/>
    </row>
    <row r="14" spans="1:7" ht="12.75">
      <c r="A14" s="432" t="s">
        <v>784</v>
      </c>
      <c r="B14" s="418" t="s">
        <v>785</v>
      </c>
      <c r="C14" s="418" t="s">
        <v>771</v>
      </c>
      <c r="F14" s="433"/>
      <c r="G14" s="431"/>
    </row>
    <row r="15" spans="1:7" ht="51">
      <c r="A15" s="434" t="s">
        <v>786</v>
      </c>
      <c r="B15" s="435" t="s">
        <v>787</v>
      </c>
      <c r="C15" s="418" t="s">
        <v>771</v>
      </c>
      <c r="F15" s="433"/>
      <c r="G15" s="431"/>
    </row>
    <row r="16" spans="1:7" ht="12.75">
      <c r="A16" s="430"/>
      <c r="B16" s="423" t="s">
        <v>788</v>
      </c>
      <c r="C16" s="423"/>
      <c r="D16" s="424"/>
      <c r="E16" s="424"/>
      <c r="F16" s="436">
        <v>2</v>
      </c>
      <c r="G16" s="431"/>
    </row>
    <row r="17" spans="1:106" ht="12.75">
      <c r="A17" s="430" t="s">
        <v>789</v>
      </c>
      <c r="B17" s="423" t="s">
        <v>790</v>
      </c>
      <c r="D17" s="423" t="s">
        <v>771</v>
      </c>
      <c r="E17" s="424"/>
      <c r="F17" s="425" t="s">
        <v>170</v>
      </c>
      <c r="G17" s="431"/>
    </row>
    <row r="18" spans="1:106" ht="38.25">
      <c r="A18" s="434" t="s">
        <v>791</v>
      </c>
      <c r="B18" s="437" t="s">
        <v>792</v>
      </c>
      <c r="C18" s="418" t="s">
        <v>771</v>
      </c>
      <c r="F18" s="438"/>
      <c r="G18" s="431"/>
    </row>
    <row r="19" spans="1:106" ht="12.75">
      <c r="A19" s="432" t="s">
        <v>235</v>
      </c>
      <c r="B19" s="418"/>
      <c r="C19" s="418"/>
      <c r="F19" s="433">
        <v>2</v>
      </c>
      <c r="G19" s="431"/>
    </row>
    <row r="20" spans="1:106" ht="12.75">
      <c r="A20" s="432"/>
      <c r="B20" s="439" t="s">
        <v>793</v>
      </c>
      <c r="D20" s="423" t="s">
        <v>771</v>
      </c>
      <c r="F20" s="440">
        <v>0.21</v>
      </c>
      <c r="G20" s="431"/>
    </row>
    <row r="21" spans="1:106" ht="6" customHeight="1">
      <c r="A21" s="432"/>
      <c r="F21" s="433"/>
      <c r="G21" s="431"/>
    </row>
    <row r="22" spans="1:106" ht="9.75" customHeight="1">
      <c r="A22" s="432"/>
      <c r="B22" s="408" t="s">
        <v>170</v>
      </c>
      <c r="F22" s="433"/>
      <c r="G22" s="431"/>
    </row>
    <row r="23" spans="1:106" ht="14.25" customHeight="1">
      <c r="A23" s="416" t="s">
        <v>794</v>
      </c>
      <c r="B23" s="417" t="s">
        <v>795</v>
      </c>
      <c r="C23" s="418"/>
      <c r="D23" s="423" t="s">
        <v>771</v>
      </c>
      <c r="E23" s="418"/>
      <c r="F23" s="441">
        <v>0.04</v>
      </c>
      <c r="G23" s="421"/>
    </row>
    <row r="24" spans="1:106" ht="10.5" customHeight="1">
      <c r="A24" s="432"/>
      <c r="B24" s="408" t="s">
        <v>170</v>
      </c>
      <c r="F24" s="433"/>
      <c r="G24" s="431"/>
    </row>
    <row r="25" spans="1:106" ht="12" customHeight="1">
      <c r="A25" s="432"/>
      <c r="B25" s="442" t="s">
        <v>796</v>
      </c>
      <c r="C25" s="424"/>
      <c r="D25" s="439" t="s">
        <v>797</v>
      </c>
      <c r="E25" s="424"/>
      <c r="F25" s="443">
        <f>F20+F23</f>
        <v>0.25</v>
      </c>
      <c r="G25" s="431"/>
    </row>
    <row r="26" spans="1:106" ht="7.5" customHeight="1">
      <c r="A26" s="432"/>
      <c r="F26" s="433"/>
      <c r="G26" s="431"/>
    </row>
    <row r="27" spans="1:106" s="446" customFormat="1" ht="36.75" customHeight="1" thickBot="1">
      <c r="A27" s="1347"/>
      <c r="B27" s="1348"/>
      <c r="C27" s="1348"/>
      <c r="D27" s="1348"/>
      <c r="E27" s="1348"/>
      <c r="F27" s="1349"/>
      <c r="G27" s="444"/>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c r="BM27" s="445"/>
      <c r="BN27" s="445"/>
      <c r="BO27" s="445"/>
      <c r="BP27" s="445"/>
      <c r="BQ27" s="445"/>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c r="CX27" s="445"/>
      <c r="CY27" s="445"/>
      <c r="CZ27" s="445"/>
      <c r="DA27" s="445"/>
      <c r="DB27" s="445"/>
    </row>
  </sheetData>
  <mergeCells count="2">
    <mergeCell ref="A1:F1"/>
    <mergeCell ref="A27:F27"/>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M149"/>
  <sheetViews>
    <sheetView topLeftCell="A22" workbookViewId="0">
      <selection activeCell="G32" sqref="G32"/>
    </sheetView>
  </sheetViews>
  <sheetFormatPr baseColWidth="10" defaultRowHeight="20.25" customHeight="1"/>
  <cols>
    <col min="1" max="1" width="21.5" style="1026" customWidth="1"/>
    <col min="2" max="2" width="32.6640625" style="999" customWidth="1"/>
    <col min="3" max="3" width="51.83203125" style="999" customWidth="1"/>
    <col min="4" max="4" width="26.83203125" style="1026" customWidth="1"/>
    <col min="5" max="5" width="15.6640625" style="1009" customWidth="1"/>
    <col min="6" max="6" width="8.5" style="999" customWidth="1"/>
    <col min="7" max="7" width="55" style="1028" customWidth="1"/>
    <col min="8" max="8" width="7" style="999" customWidth="1"/>
    <col min="9" max="9" width="8.6640625" style="999" customWidth="1"/>
    <col min="10" max="10" width="8.5" style="999" customWidth="1"/>
    <col min="11" max="11" width="25" style="999" customWidth="1"/>
    <col min="12" max="12" width="12" style="999"/>
    <col min="13" max="13" width="40.83203125" style="999" customWidth="1"/>
    <col min="14" max="16384" width="12" style="999"/>
  </cols>
  <sheetData>
    <row r="1" spans="1:13" ht="65.25" customHeight="1" thickBot="1">
      <c r="A1" s="984" t="s">
        <v>917</v>
      </c>
      <c r="B1" s="998" t="s">
        <v>918</v>
      </c>
      <c r="C1" s="985" t="s">
        <v>919</v>
      </c>
      <c r="D1" s="985" t="s">
        <v>920</v>
      </c>
      <c r="E1" s="986" t="s">
        <v>921</v>
      </c>
      <c r="F1" s="987"/>
      <c r="G1" s="1027" t="s">
        <v>1183</v>
      </c>
      <c r="M1" s="1037" t="s">
        <v>1188</v>
      </c>
    </row>
    <row r="2" spans="1:13" ht="20.25" customHeight="1" thickBot="1">
      <c r="A2" s="988"/>
      <c r="B2" s="1000" t="s">
        <v>922</v>
      </c>
      <c r="C2" s="1001" t="s">
        <v>923</v>
      </c>
      <c r="D2" s="1002">
        <v>3128676952</v>
      </c>
      <c r="E2" s="1003">
        <v>64584768</v>
      </c>
      <c r="G2" s="1030" t="s">
        <v>1044</v>
      </c>
      <c r="I2" s="1034" t="s">
        <v>377</v>
      </c>
      <c r="K2" s="614" t="s">
        <v>669</v>
      </c>
    </row>
    <row r="3" spans="1:13" ht="162" customHeight="1" thickBot="1">
      <c r="A3" s="988"/>
      <c r="B3" s="1004" t="s">
        <v>924</v>
      </c>
      <c r="C3" s="1001" t="s">
        <v>925</v>
      </c>
      <c r="D3" s="1002">
        <v>3104740783</v>
      </c>
      <c r="E3" s="1005">
        <v>80258328</v>
      </c>
      <c r="G3" s="1031" t="s">
        <v>1005</v>
      </c>
      <c r="I3" s="1034" t="s">
        <v>1184</v>
      </c>
      <c r="K3" s="616" t="s">
        <v>684</v>
      </c>
      <c r="M3" s="1037" t="str">
        <f>REPLACE(M1,108,0,'FICHAS '!C6)</f>
        <v>PRESUPUESTO OFICIAL
ESTUDIOS PREVIOS 
CONVENIO INTERADMINISTRATIVO 
 “Aunar esfuerzos con el municipio de Santa Fe de Antioquia para cofinanciar el saneamiento hídrico rural en su territorio"
MODALIDAD DE SELECCIÓN - OBJETO 
Convenio interadministrativo</v>
      </c>
    </row>
    <row r="4" spans="1:13" ht="20.25" customHeight="1" thickBot="1">
      <c r="A4" s="989" t="s">
        <v>926</v>
      </c>
      <c r="B4" s="1004" t="s">
        <v>927</v>
      </c>
      <c r="C4" s="1001" t="s">
        <v>928</v>
      </c>
      <c r="D4" s="1002">
        <v>3218577799</v>
      </c>
      <c r="E4" s="1005">
        <v>8200882</v>
      </c>
      <c r="G4" s="1030" t="s">
        <v>1046</v>
      </c>
      <c r="K4" s="618" t="s">
        <v>731</v>
      </c>
    </row>
    <row r="5" spans="1:13" ht="20.25" customHeight="1" thickBot="1">
      <c r="A5" s="988"/>
      <c r="B5" s="1004" t="s">
        <v>929</v>
      </c>
      <c r="C5" s="1001" t="s">
        <v>930</v>
      </c>
      <c r="D5" s="1002">
        <v>3105183096</v>
      </c>
      <c r="E5" s="1005">
        <v>39278364</v>
      </c>
      <c r="F5" s="999" t="s">
        <v>170</v>
      </c>
      <c r="G5" s="1032" t="s">
        <v>1091</v>
      </c>
      <c r="K5" s="618" t="s">
        <v>716</v>
      </c>
      <c r="M5" s="999" t="s">
        <v>1189</v>
      </c>
    </row>
    <row r="6" spans="1:13" ht="20.25" customHeight="1" thickBot="1">
      <c r="A6" s="988"/>
      <c r="B6" s="1004" t="s">
        <v>931</v>
      </c>
      <c r="C6" s="1001" t="s">
        <v>932</v>
      </c>
      <c r="D6" s="1002">
        <v>3104699568</v>
      </c>
      <c r="E6" s="1005">
        <v>70542798</v>
      </c>
      <c r="G6" s="1030" t="s">
        <v>951</v>
      </c>
      <c r="K6" s="616" t="s">
        <v>682</v>
      </c>
    </row>
    <row r="7" spans="1:13" ht="63" customHeight="1" thickBot="1">
      <c r="A7" s="988"/>
      <c r="B7" s="1004" t="s">
        <v>933</v>
      </c>
      <c r="C7" s="1001" t="s">
        <v>934</v>
      </c>
      <c r="D7" s="1002">
        <v>3137897505</v>
      </c>
      <c r="E7" s="1005">
        <v>98611705</v>
      </c>
      <c r="G7" s="1032" t="s">
        <v>1093</v>
      </c>
      <c r="K7" s="618" t="s">
        <v>728</v>
      </c>
      <c r="M7" s="1037" t="str">
        <f>REPLACE(M5,39,0,'FICHAS '!C10)</f>
        <v xml:space="preserve"> “Aunar esfuerzos con el municipio de Santa Fe de Antioquia para cofinanciar el saneamiento hídrico rural en su territorio”</v>
      </c>
    </row>
    <row r="8" spans="1:13" ht="20.25" customHeight="1" thickBot="1">
      <c r="A8" s="988"/>
      <c r="B8" s="1004" t="s">
        <v>935</v>
      </c>
      <c r="C8" s="1001" t="s">
        <v>936</v>
      </c>
      <c r="D8" s="1002">
        <v>3206409668</v>
      </c>
      <c r="E8" s="1005"/>
      <c r="G8" s="1032" t="s">
        <v>1095</v>
      </c>
      <c r="K8" s="620" t="s">
        <v>736</v>
      </c>
    </row>
    <row r="9" spans="1:13" ht="20.25" customHeight="1" thickBot="1">
      <c r="A9" s="990"/>
      <c r="B9" s="1006"/>
      <c r="C9" s="1007"/>
      <c r="D9" s="1008"/>
      <c r="G9" s="1029" t="s">
        <v>972</v>
      </c>
      <c r="K9" s="618" t="s">
        <v>700</v>
      </c>
    </row>
    <row r="10" spans="1:13" ht="20.25" customHeight="1" thickBot="1">
      <c r="A10" s="989" t="s">
        <v>937</v>
      </c>
      <c r="B10" s="1004" t="s">
        <v>938</v>
      </c>
      <c r="C10" s="1001" t="s">
        <v>939</v>
      </c>
      <c r="D10" s="1002">
        <v>3218019513</v>
      </c>
      <c r="E10" s="1005">
        <v>15324788</v>
      </c>
      <c r="G10" s="1029" t="s">
        <v>953</v>
      </c>
      <c r="K10" s="616" t="s">
        <v>681</v>
      </c>
    </row>
    <row r="11" spans="1:13" ht="20.25" customHeight="1" thickBot="1">
      <c r="A11" s="989" t="s">
        <v>940</v>
      </c>
      <c r="B11" s="1004" t="s">
        <v>941</v>
      </c>
      <c r="C11" s="1001" t="s">
        <v>942</v>
      </c>
      <c r="D11" s="1002">
        <v>3116138577</v>
      </c>
      <c r="E11" s="1005">
        <v>1020394034</v>
      </c>
      <c r="G11" s="1030" t="s">
        <v>1007</v>
      </c>
      <c r="K11" s="616" t="s">
        <v>685</v>
      </c>
    </row>
    <row r="12" spans="1:13" ht="20.25" customHeight="1" thickBot="1">
      <c r="A12" s="988"/>
      <c r="B12" s="1010" t="s">
        <v>943</v>
      </c>
      <c r="C12" s="1001" t="s">
        <v>944</v>
      </c>
      <c r="D12" s="1002">
        <v>3023274646</v>
      </c>
      <c r="E12" s="1005">
        <v>71193643</v>
      </c>
      <c r="G12" s="1032" t="s">
        <v>1138</v>
      </c>
      <c r="K12" s="616" t="s">
        <v>671</v>
      </c>
    </row>
    <row r="13" spans="1:13" ht="20.25" customHeight="1" thickBot="1">
      <c r="A13" s="988"/>
      <c r="B13" s="1004" t="s">
        <v>945</v>
      </c>
      <c r="C13" s="1001" t="s">
        <v>946</v>
      </c>
      <c r="D13" s="1002">
        <v>3122388784</v>
      </c>
      <c r="E13" s="1005">
        <v>71772669</v>
      </c>
      <c r="G13" s="1032" t="s">
        <v>1140</v>
      </c>
      <c r="K13" s="618" t="s">
        <v>695</v>
      </c>
    </row>
    <row r="14" spans="1:13" ht="20.25" customHeight="1" thickBot="1">
      <c r="A14" s="988"/>
      <c r="B14" s="1004" t="s">
        <v>947</v>
      </c>
      <c r="C14" s="1001" t="s">
        <v>948</v>
      </c>
      <c r="D14" s="1002">
        <v>3204748519</v>
      </c>
      <c r="E14" s="1005">
        <v>80773523</v>
      </c>
      <c r="G14" s="1032" t="s">
        <v>1048</v>
      </c>
      <c r="K14" s="618" t="s">
        <v>719</v>
      </c>
    </row>
    <row r="15" spans="1:13" ht="20.25" customHeight="1" thickBot="1">
      <c r="A15" s="988"/>
      <c r="B15" s="1004" t="s">
        <v>949</v>
      </c>
      <c r="C15" s="1001" t="s">
        <v>950</v>
      </c>
      <c r="D15" s="1002">
        <v>3186943014</v>
      </c>
      <c r="E15" s="1005">
        <v>8828944</v>
      </c>
      <c r="G15" s="1033" t="s">
        <v>1009</v>
      </c>
      <c r="K15" s="618" t="s">
        <v>718</v>
      </c>
    </row>
    <row r="16" spans="1:13" ht="20.25" customHeight="1" thickBot="1">
      <c r="A16" s="990"/>
      <c r="B16" s="1006"/>
      <c r="C16" s="1007"/>
      <c r="D16" s="1008"/>
      <c r="G16" s="1032" t="s">
        <v>1161</v>
      </c>
      <c r="K16" s="620" t="s">
        <v>737</v>
      </c>
    </row>
    <row r="17" spans="1:11" ht="20.25" customHeight="1" thickBot="1">
      <c r="A17" s="990"/>
      <c r="B17" s="1006"/>
      <c r="C17" s="1007"/>
      <c r="D17" s="1008"/>
      <c r="G17" s="1032" t="s">
        <v>1163</v>
      </c>
      <c r="K17" s="618" t="s">
        <v>704</v>
      </c>
    </row>
    <row r="18" spans="1:11" ht="20.25" customHeight="1" thickBot="1">
      <c r="A18" s="991"/>
      <c r="B18" s="1010" t="s">
        <v>951</v>
      </c>
      <c r="C18" s="1001" t="s">
        <v>952</v>
      </c>
      <c r="D18" s="1002">
        <v>3117161766</v>
      </c>
      <c r="E18" s="1005">
        <v>8014676</v>
      </c>
      <c r="G18" s="1029" t="s">
        <v>974</v>
      </c>
      <c r="K18" s="622" t="s">
        <v>744</v>
      </c>
    </row>
    <row r="19" spans="1:11" ht="20.25" customHeight="1" thickBot="1">
      <c r="A19" s="992"/>
      <c r="B19" s="1004" t="s">
        <v>953</v>
      </c>
      <c r="C19" s="1001" t="s">
        <v>954</v>
      </c>
      <c r="D19" s="1002">
        <v>3207128156</v>
      </c>
      <c r="E19" s="1005">
        <v>70925149</v>
      </c>
      <c r="G19" s="1032" t="s">
        <v>1098</v>
      </c>
      <c r="K19" s="618" t="s">
        <v>706</v>
      </c>
    </row>
    <row r="20" spans="1:11" ht="20.25" customHeight="1" thickBot="1">
      <c r="A20" s="992"/>
      <c r="B20" s="1004" t="s">
        <v>955</v>
      </c>
      <c r="C20" s="1001" t="s">
        <v>956</v>
      </c>
      <c r="D20" s="1002">
        <v>3216484644</v>
      </c>
      <c r="E20" s="1011">
        <v>43483244</v>
      </c>
      <c r="G20" s="1032" t="s">
        <v>1100</v>
      </c>
      <c r="K20" s="616" t="s">
        <v>677</v>
      </c>
    </row>
    <row r="21" spans="1:11" ht="20.25" customHeight="1" thickBot="1">
      <c r="A21" s="993" t="s">
        <v>957</v>
      </c>
      <c r="B21" s="1004" t="s">
        <v>958</v>
      </c>
      <c r="C21" s="1001" t="s">
        <v>959</v>
      </c>
      <c r="D21" s="1002">
        <v>3002605188</v>
      </c>
      <c r="E21" s="1005">
        <v>1046903855</v>
      </c>
      <c r="G21" s="1029" t="s">
        <v>976</v>
      </c>
      <c r="K21" s="618" t="s">
        <v>729</v>
      </c>
    </row>
    <row r="22" spans="1:11" ht="20.25" customHeight="1" thickBot="1">
      <c r="A22" s="992"/>
      <c r="B22" s="1004" t="s">
        <v>960</v>
      </c>
      <c r="C22" s="1001" t="s">
        <v>961</v>
      </c>
      <c r="D22" s="1002">
        <v>3108240568</v>
      </c>
      <c r="E22" s="1005">
        <v>1037594374</v>
      </c>
      <c r="G22" s="1032" t="s">
        <v>1011</v>
      </c>
      <c r="K22" s="618" t="s">
        <v>730</v>
      </c>
    </row>
    <row r="23" spans="1:11" ht="20.25" customHeight="1" thickBot="1">
      <c r="A23" s="992"/>
      <c r="B23" s="1004" t="s">
        <v>962</v>
      </c>
      <c r="C23" s="1001" t="s">
        <v>963</v>
      </c>
      <c r="D23" s="1002">
        <v>3104963397</v>
      </c>
      <c r="E23" s="1005">
        <v>98506167</v>
      </c>
      <c r="G23" s="1029" t="s">
        <v>922</v>
      </c>
      <c r="K23" s="618" t="s">
        <v>721</v>
      </c>
    </row>
    <row r="24" spans="1:11" ht="20.25" customHeight="1" thickBot="1">
      <c r="A24" s="992"/>
      <c r="B24" s="1004" t="s">
        <v>964</v>
      </c>
      <c r="C24" s="1001" t="s">
        <v>965</v>
      </c>
      <c r="D24" s="1002">
        <v>3158742154</v>
      </c>
      <c r="E24" s="1005">
        <v>1046902267</v>
      </c>
      <c r="G24" s="1032" t="s">
        <v>1013</v>
      </c>
      <c r="K24" s="618" t="s">
        <v>709</v>
      </c>
    </row>
    <row r="25" spans="1:11" ht="20.25" customHeight="1" thickBot="1">
      <c r="A25" s="992"/>
      <c r="B25" s="1004" t="s">
        <v>966</v>
      </c>
      <c r="C25" s="1001" t="s">
        <v>967</v>
      </c>
      <c r="D25" s="1002">
        <v>3122756606</v>
      </c>
      <c r="E25" s="1005">
        <v>15341908</v>
      </c>
      <c r="G25" s="1033" t="s">
        <v>1165</v>
      </c>
      <c r="K25" s="622" t="s">
        <v>745</v>
      </c>
    </row>
    <row r="26" spans="1:11" ht="20.25" customHeight="1" thickBot="1">
      <c r="A26" s="992"/>
      <c r="B26" s="1004" t="s">
        <v>968</v>
      </c>
      <c r="C26" s="1001" t="s">
        <v>969</v>
      </c>
      <c r="D26" s="1002">
        <v>3242262433</v>
      </c>
      <c r="E26" s="1005">
        <v>98643520</v>
      </c>
      <c r="G26" s="1029" t="s">
        <v>978</v>
      </c>
      <c r="K26" s="618" t="s">
        <v>701</v>
      </c>
    </row>
    <row r="27" spans="1:11" ht="20.25" customHeight="1" thickBot="1">
      <c r="A27" s="994"/>
      <c r="B27" s="1010" t="s">
        <v>970</v>
      </c>
      <c r="C27" s="1001" t="s">
        <v>971</v>
      </c>
      <c r="D27" s="1002">
        <v>3148177435</v>
      </c>
      <c r="E27" s="1005">
        <v>70053131</v>
      </c>
      <c r="G27" s="1032" t="s">
        <v>1015</v>
      </c>
      <c r="K27" s="618" t="s">
        <v>712</v>
      </c>
    </row>
    <row r="28" spans="1:11" ht="20.25" customHeight="1" thickBot="1">
      <c r="A28" s="990"/>
      <c r="B28" s="1006"/>
      <c r="C28" s="1007"/>
      <c r="D28" s="1008"/>
      <c r="G28" s="1029" t="s">
        <v>938</v>
      </c>
      <c r="K28" s="618" t="s">
        <v>703</v>
      </c>
    </row>
    <row r="29" spans="1:11" ht="20.25" customHeight="1" thickBot="1">
      <c r="A29" s="990"/>
      <c r="B29" s="1006"/>
      <c r="C29" s="1007"/>
      <c r="D29" s="1008"/>
      <c r="G29" s="1032" t="s">
        <v>1102</v>
      </c>
      <c r="K29" s="616" t="s">
        <v>676</v>
      </c>
    </row>
    <row r="30" spans="1:11" ht="20.25" customHeight="1" thickBot="1">
      <c r="A30" s="991"/>
      <c r="B30" s="1004" t="s">
        <v>972</v>
      </c>
      <c r="C30" s="1001" t="s">
        <v>973</v>
      </c>
      <c r="D30" s="1002">
        <v>3105188078</v>
      </c>
      <c r="E30" s="1005">
        <v>98469640</v>
      </c>
      <c r="G30" s="1032" t="s">
        <v>1142</v>
      </c>
      <c r="K30" s="616" t="s">
        <v>687</v>
      </c>
    </row>
    <row r="31" spans="1:11" ht="20.25" customHeight="1" thickBot="1">
      <c r="A31" s="992"/>
      <c r="B31" s="1004" t="s">
        <v>974</v>
      </c>
      <c r="C31" s="1001" t="s">
        <v>975</v>
      </c>
      <c r="D31" s="1002">
        <v>3136151382</v>
      </c>
      <c r="E31" s="1005">
        <v>71850681</v>
      </c>
      <c r="G31" s="1030" t="s">
        <v>980</v>
      </c>
      <c r="K31" s="616" t="s">
        <v>686</v>
      </c>
    </row>
    <row r="32" spans="1:11" ht="20.25" customHeight="1" thickBot="1">
      <c r="A32" s="992"/>
      <c r="B32" s="1004" t="s">
        <v>976</v>
      </c>
      <c r="C32" s="1001" t="s">
        <v>977</v>
      </c>
      <c r="D32" s="1002">
        <v>3142421264</v>
      </c>
      <c r="E32" s="1005">
        <v>71411641</v>
      </c>
      <c r="G32" s="1029" t="s">
        <v>924</v>
      </c>
      <c r="K32" s="622" t="s">
        <v>748</v>
      </c>
    </row>
    <row r="33" spans="1:11" ht="20.25" customHeight="1" thickBot="1">
      <c r="A33" s="992"/>
      <c r="B33" s="1004" t="s">
        <v>978</v>
      </c>
      <c r="C33" s="1001" t="s">
        <v>979</v>
      </c>
      <c r="D33" s="1002">
        <v>3128297174</v>
      </c>
      <c r="E33" s="1005">
        <v>1001165224</v>
      </c>
      <c r="G33" s="1032" t="s">
        <v>1144</v>
      </c>
      <c r="K33" s="616" t="s">
        <v>689</v>
      </c>
    </row>
    <row r="34" spans="1:11" ht="20.25" customHeight="1" thickBot="1">
      <c r="A34" s="992"/>
      <c r="B34" s="1010" t="s">
        <v>980</v>
      </c>
      <c r="C34" s="1001" t="s">
        <v>981</v>
      </c>
      <c r="D34" s="1002">
        <v>3507685847</v>
      </c>
      <c r="E34" s="1005">
        <v>43300435</v>
      </c>
      <c r="G34" s="1029" t="s">
        <v>955</v>
      </c>
      <c r="K34" s="616" t="s">
        <v>672</v>
      </c>
    </row>
    <row r="35" spans="1:11" ht="20.25" customHeight="1" thickBot="1">
      <c r="A35" s="992"/>
      <c r="B35" s="1004" t="s">
        <v>982</v>
      </c>
      <c r="C35" s="1001" t="s">
        <v>983</v>
      </c>
      <c r="D35" s="1002">
        <v>3128746929</v>
      </c>
      <c r="E35" s="1005">
        <v>8154482</v>
      </c>
      <c r="G35" s="1032" t="s">
        <v>1104</v>
      </c>
      <c r="K35" s="618" t="s">
        <v>692</v>
      </c>
    </row>
    <row r="36" spans="1:11" ht="20.25" customHeight="1" thickBot="1">
      <c r="A36" s="993" t="s">
        <v>984</v>
      </c>
      <c r="B36" s="1004" t="s">
        <v>985</v>
      </c>
      <c r="C36" s="1001" t="s">
        <v>986</v>
      </c>
      <c r="D36" s="1002">
        <v>3105369025</v>
      </c>
      <c r="E36" s="1005">
        <v>1035830275</v>
      </c>
      <c r="G36" s="1032" t="s">
        <v>1050</v>
      </c>
      <c r="K36" s="616" t="s">
        <v>678</v>
      </c>
    </row>
    <row r="37" spans="1:11" ht="20.25" customHeight="1" thickBot="1">
      <c r="A37" s="992"/>
      <c r="B37" s="1012" t="s">
        <v>987</v>
      </c>
      <c r="C37" s="1001" t="s">
        <v>988</v>
      </c>
      <c r="D37" s="1002">
        <v>3507694101</v>
      </c>
      <c r="E37" s="1005">
        <v>98606428</v>
      </c>
      <c r="G37" s="1032" t="s">
        <v>1052</v>
      </c>
      <c r="K37" s="618" t="s">
        <v>702</v>
      </c>
    </row>
    <row r="38" spans="1:11" ht="20.25" customHeight="1" thickBot="1">
      <c r="A38" s="992"/>
      <c r="B38" s="1004" t="s">
        <v>989</v>
      </c>
      <c r="C38" s="1001" t="s">
        <v>990</v>
      </c>
      <c r="D38" s="1008">
        <v>3046577140</v>
      </c>
      <c r="E38" s="1005">
        <v>71536361</v>
      </c>
      <c r="G38" s="1032" t="s">
        <v>1106</v>
      </c>
      <c r="K38" s="618" t="s">
        <v>722</v>
      </c>
    </row>
    <row r="39" spans="1:11" ht="20.25" customHeight="1" thickBot="1">
      <c r="A39" s="992"/>
      <c r="B39" s="1004" t="s">
        <v>991</v>
      </c>
      <c r="C39" s="1001" t="s">
        <v>992</v>
      </c>
      <c r="D39" s="1002">
        <v>3128777441</v>
      </c>
      <c r="E39" s="1005">
        <v>70579327</v>
      </c>
      <c r="G39" s="1032" t="s">
        <v>1168</v>
      </c>
      <c r="K39" s="616" t="s">
        <v>679</v>
      </c>
    </row>
    <row r="40" spans="1:11" ht="20.25" customHeight="1" thickBot="1">
      <c r="A40" s="992"/>
      <c r="B40" s="1013" t="s">
        <v>993</v>
      </c>
      <c r="C40" s="1001" t="s">
        <v>994</v>
      </c>
      <c r="D40" s="1002">
        <v>3103587601</v>
      </c>
      <c r="E40" s="1005">
        <v>3556296</v>
      </c>
      <c r="G40" s="1032" t="s">
        <v>1017</v>
      </c>
      <c r="K40" s="618" t="s">
        <v>708</v>
      </c>
    </row>
    <row r="41" spans="1:11" ht="20.25" customHeight="1" thickBot="1">
      <c r="A41" s="992"/>
      <c r="B41" s="1013" t="s">
        <v>995</v>
      </c>
      <c r="C41" s="1001" t="s">
        <v>996</v>
      </c>
      <c r="D41" s="1002">
        <v>3105073973</v>
      </c>
      <c r="E41" s="1005">
        <v>15370975</v>
      </c>
      <c r="G41" s="1029" t="s">
        <v>982</v>
      </c>
      <c r="K41" s="616" t="s">
        <v>673</v>
      </c>
    </row>
    <row r="42" spans="1:11" ht="20.25" customHeight="1" thickBot="1">
      <c r="A42" s="992"/>
      <c r="B42" s="1013" t="s">
        <v>997</v>
      </c>
      <c r="C42" s="1001" t="s">
        <v>998</v>
      </c>
      <c r="D42" s="1002">
        <v>3148849356</v>
      </c>
      <c r="E42" s="1005">
        <v>70193006</v>
      </c>
      <c r="G42" s="1032" t="s">
        <v>1019</v>
      </c>
      <c r="K42" s="620" t="s">
        <v>740</v>
      </c>
    </row>
    <row r="43" spans="1:11" ht="20.25" customHeight="1" thickBot="1">
      <c r="A43" s="992"/>
      <c r="B43" s="1004" t="s">
        <v>999</v>
      </c>
      <c r="C43" s="1001" t="s">
        <v>1000</v>
      </c>
      <c r="D43" s="1002">
        <v>3148894373</v>
      </c>
      <c r="E43" s="1005">
        <v>8150385</v>
      </c>
      <c r="G43" s="1029" t="s">
        <v>927</v>
      </c>
      <c r="K43" s="618" t="s">
        <v>725</v>
      </c>
    </row>
    <row r="44" spans="1:11" ht="20.25" customHeight="1" thickBot="1">
      <c r="A44" s="992"/>
      <c r="B44" s="1013" t="s">
        <v>1001</v>
      </c>
      <c r="C44" s="1001" t="s">
        <v>1002</v>
      </c>
      <c r="D44" s="1002">
        <v>3103685704</v>
      </c>
      <c r="E44" s="1005">
        <v>71801415</v>
      </c>
      <c r="G44" s="1032" t="s">
        <v>1054</v>
      </c>
      <c r="K44" s="618" t="s">
        <v>714</v>
      </c>
    </row>
    <row r="45" spans="1:11" ht="20.25" customHeight="1" thickBot="1">
      <c r="A45" s="992"/>
      <c r="B45" s="1013" t="s">
        <v>935</v>
      </c>
      <c r="C45" s="1001" t="s">
        <v>936</v>
      </c>
      <c r="D45" s="1002">
        <v>3206409668</v>
      </c>
      <c r="E45" s="1005">
        <v>1045078746</v>
      </c>
      <c r="G45" s="1032" t="s">
        <v>1056</v>
      </c>
      <c r="K45" s="616" t="s">
        <v>675</v>
      </c>
    </row>
    <row r="46" spans="1:11" ht="20.25" customHeight="1" thickBot="1">
      <c r="A46" s="994"/>
      <c r="B46" s="1013" t="s">
        <v>1003</v>
      </c>
      <c r="C46" s="1001" t="s">
        <v>1004</v>
      </c>
      <c r="D46" s="1002">
        <v>3148531643</v>
      </c>
      <c r="E46" s="1005">
        <v>1042772767</v>
      </c>
      <c r="G46" s="1032" t="s">
        <v>1058</v>
      </c>
      <c r="K46" s="618" t="s">
        <v>699</v>
      </c>
    </row>
    <row r="47" spans="1:11" ht="20.25" customHeight="1" thickBot="1">
      <c r="A47" s="990"/>
      <c r="B47" s="1007"/>
      <c r="C47" s="1007"/>
      <c r="D47" s="1008"/>
      <c r="G47" s="1032" t="s">
        <v>1060</v>
      </c>
      <c r="K47" s="618" t="s">
        <v>698</v>
      </c>
    </row>
    <row r="48" spans="1:11" ht="20.25" customHeight="1" thickBot="1">
      <c r="A48" s="990"/>
      <c r="B48" s="1007"/>
      <c r="C48" s="1007"/>
      <c r="D48" s="1008"/>
      <c r="G48" s="1029" t="s">
        <v>985</v>
      </c>
      <c r="K48" s="618" t="s">
        <v>726</v>
      </c>
    </row>
    <row r="49" spans="1:11" ht="20.25" customHeight="1" thickBot="1">
      <c r="A49" s="991"/>
      <c r="B49" s="1013" t="s">
        <v>1005</v>
      </c>
      <c r="C49" s="1001" t="s">
        <v>1006</v>
      </c>
      <c r="D49" s="1002">
        <v>3104718096</v>
      </c>
      <c r="E49" s="1015">
        <v>3383395</v>
      </c>
      <c r="G49" s="1032" t="s">
        <v>1171</v>
      </c>
      <c r="K49" s="616" t="s">
        <v>690</v>
      </c>
    </row>
    <row r="50" spans="1:11" ht="20.25" customHeight="1" thickBot="1">
      <c r="A50" s="992"/>
      <c r="B50" s="1010" t="s">
        <v>1007</v>
      </c>
      <c r="C50" s="1001" t="s">
        <v>1008</v>
      </c>
      <c r="D50" s="1002">
        <v>3106867586</v>
      </c>
      <c r="E50" s="1015">
        <v>1128394794</v>
      </c>
      <c r="G50" s="1032" t="s">
        <v>1108</v>
      </c>
      <c r="K50" s="622" t="s">
        <v>747</v>
      </c>
    </row>
    <row r="51" spans="1:11" ht="20.25" customHeight="1" thickBot="1">
      <c r="A51" s="992"/>
      <c r="B51" s="1014" t="s">
        <v>1009</v>
      </c>
      <c r="C51" s="1016" t="s">
        <v>1010</v>
      </c>
      <c r="D51" s="1017">
        <v>3104575578</v>
      </c>
      <c r="E51" s="1015">
        <v>43739355</v>
      </c>
      <c r="G51" s="1032" t="s">
        <v>1021</v>
      </c>
      <c r="K51" s="618" t="s">
        <v>696</v>
      </c>
    </row>
    <row r="52" spans="1:11" ht="20.25" customHeight="1" thickBot="1">
      <c r="A52" s="992"/>
      <c r="B52" s="1001" t="s">
        <v>1011</v>
      </c>
      <c r="C52" s="1001" t="s">
        <v>1012</v>
      </c>
      <c r="D52" s="1002">
        <v>3143035289</v>
      </c>
      <c r="E52" s="1015">
        <v>1035282933</v>
      </c>
      <c r="G52" s="1032" t="s">
        <v>1173</v>
      </c>
      <c r="K52" s="618" t="s">
        <v>717</v>
      </c>
    </row>
    <row r="53" spans="1:11" ht="20.25" customHeight="1" thickBot="1">
      <c r="A53" s="992"/>
      <c r="B53" s="1001" t="s">
        <v>1013</v>
      </c>
      <c r="C53" s="1001" t="s">
        <v>1014</v>
      </c>
      <c r="D53" s="1002">
        <v>3113528742</v>
      </c>
      <c r="E53" s="1015">
        <v>1023830859</v>
      </c>
      <c r="G53" s="1032" t="s">
        <v>1023</v>
      </c>
      <c r="K53" s="620" t="s">
        <v>738</v>
      </c>
    </row>
    <row r="54" spans="1:11" ht="20.25" customHeight="1" thickBot="1">
      <c r="A54" s="992"/>
      <c r="B54" s="1001" t="s">
        <v>1015</v>
      </c>
      <c r="C54" s="1001" t="s">
        <v>1016</v>
      </c>
      <c r="D54" s="1002">
        <v>3136555863</v>
      </c>
      <c r="E54" s="1015">
        <v>70434826</v>
      </c>
      <c r="G54" s="1032" t="s">
        <v>987</v>
      </c>
      <c r="K54" s="622" t="s">
        <v>743</v>
      </c>
    </row>
    <row r="55" spans="1:11" ht="20.25" customHeight="1" thickBot="1">
      <c r="A55" s="995"/>
      <c r="B55" s="1001" t="s">
        <v>1017</v>
      </c>
      <c r="C55" s="1001" t="s">
        <v>1018</v>
      </c>
      <c r="D55" s="1002">
        <v>3104467345</v>
      </c>
      <c r="E55" s="1015">
        <v>1017166884</v>
      </c>
      <c r="G55" s="1032" t="s">
        <v>1063</v>
      </c>
      <c r="K55" s="620" t="s">
        <v>739</v>
      </c>
    </row>
    <row r="56" spans="1:11" ht="20.25" customHeight="1" thickBot="1">
      <c r="A56" s="992"/>
      <c r="B56" s="1001" t="s">
        <v>1019</v>
      </c>
      <c r="C56" s="1001" t="s">
        <v>1020</v>
      </c>
      <c r="D56" s="1002">
        <v>3128907202</v>
      </c>
      <c r="E56" s="1015">
        <v>1039884806</v>
      </c>
      <c r="G56" s="1029" t="s">
        <v>989</v>
      </c>
      <c r="K56" s="618" t="s">
        <v>715</v>
      </c>
    </row>
    <row r="57" spans="1:11" ht="20.25" customHeight="1" thickBot="1">
      <c r="A57" s="992"/>
      <c r="B57" s="1001" t="s">
        <v>1021</v>
      </c>
      <c r="C57" s="1001" t="s">
        <v>1022</v>
      </c>
      <c r="D57" s="1002">
        <v>3116349318</v>
      </c>
      <c r="E57" s="1015">
        <v>32255374</v>
      </c>
      <c r="G57" s="1032" t="s">
        <v>1065</v>
      </c>
      <c r="K57" s="616" t="s">
        <v>674</v>
      </c>
    </row>
    <row r="58" spans="1:11" ht="20.25" customHeight="1" thickBot="1">
      <c r="A58" s="992"/>
      <c r="B58" s="1001" t="s">
        <v>1023</v>
      </c>
      <c r="C58" s="1001" t="s">
        <v>1024</v>
      </c>
      <c r="D58" s="1002">
        <v>3212526750</v>
      </c>
      <c r="E58" s="1015">
        <v>1041176339</v>
      </c>
      <c r="G58" s="1032" t="s">
        <v>1067</v>
      </c>
      <c r="K58" s="618" t="s">
        <v>707</v>
      </c>
    </row>
    <row r="59" spans="1:11" ht="20.25" customHeight="1" thickBot="1">
      <c r="A59" s="992"/>
      <c r="B59" s="1001" t="s">
        <v>1025</v>
      </c>
      <c r="C59" s="1001" t="s">
        <v>1026</v>
      </c>
      <c r="D59" s="1002">
        <v>3183906849</v>
      </c>
      <c r="E59" s="1015">
        <v>15371487</v>
      </c>
      <c r="G59" s="1032" t="s">
        <v>1025</v>
      </c>
      <c r="K59" s="618" t="s">
        <v>727</v>
      </c>
    </row>
    <row r="60" spans="1:11" ht="20.25" customHeight="1" thickBot="1">
      <c r="A60" s="993" t="s">
        <v>1027</v>
      </c>
      <c r="B60" s="1001" t="s">
        <v>1028</v>
      </c>
      <c r="C60" s="1001" t="s">
        <v>1029</v>
      </c>
      <c r="D60" s="1002">
        <v>3165219300</v>
      </c>
      <c r="E60" s="1015">
        <v>21852531</v>
      </c>
      <c r="G60" s="1032" t="s">
        <v>1110</v>
      </c>
      <c r="K60" s="616" t="s">
        <v>680</v>
      </c>
    </row>
    <row r="61" spans="1:11" ht="20.25" customHeight="1" thickBot="1">
      <c r="A61" s="992"/>
      <c r="B61" s="1001" t="s">
        <v>1030</v>
      </c>
      <c r="C61" s="1001" t="s">
        <v>1031</v>
      </c>
      <c r="D61" s="1002">
        <v>3103651863</v>
      </c>
      <c r="E61" s="1003">
        <v>1017238748</v>
      </c>
      <c r="G61" s="1032" t="s">
        <v>1175</v>
      </c>
      <c r="K61" s="618" t="s">
        <v>723</v>
      </c>
    </row>
    <row r="62" spans="1:11" ht="20.25" customHeight="1" thickBot="1">
      <c r="A62" s="992"/>
      <c r="B62" s="1001" t="s">
        <v>1032</v>
      </c>
      <c r="C62" s="1001" t="s">
        <v>1033</v>
      </c>
      <c r="D62" s="1002">
        <v>3117800204</v>
      </c>
      <c r="E62" s="1015">
        <v>15286441</v>
      </c>
      <c r="G62" s="1029" t="s">
        <v>991</v>
      </c>
      <c r="K62" s="616" t="s">
        <v>683</v>
      </c>
    </row>
    <row r="63" spans="1:11" ht="20.25" customHeight="1" thickBot="1">
      <c r="A63" s="992"/>
      <c r="B63" s="1001" t="s">
        <v>1034</v>
      </c>
      <c r="C63" s="1001" t="s">
        <v>1035</v>
      </c>
      <c r="D63" s="1002">
        <v>3103297341</v>
      </c>
      <c r="E63" s="1015">
        <v>98463132</v>
      </c>
      <c r="G63" s="1032" t="s">
        <v>1112</v>
      </c>
      <c r="K63" s="616" t="s">
        <v>632</v>
      </c>
    </row>
    <row r="64" spans="1:11" ht="20.25" customHeight="1" thickBot="1">
      <c r="A64" s="992"/>
      <c r="B64" s="1001" t="s">
        <v>1036</v>
      </c>
      <c r="C64" s="1001" t="s">
        <v>1037</v>
      </c>
      <c r="D64" s="1002">
        <v>3012429236</v>
      </c>
      <c r="E64" s="1015">
        <v>8473199</v>
      </c>
      <c r="G64" s="1032" t="s">
        <v>1114</v>
      </c>
      <c r="K64" s="618" t="s">
        <v>691</v>
      </c>
    </row>
    <row r="65" spans="1:11" ht="20.25" customHeight="1" thickBot="1">
      <c r="A65" s="992"/>
      <c r="B65" s="1001" t="s">
        <v>1038</v>
      </c>
      <c r="C65" s="1001" t="s">
        <v>1039</v>
      </c>
      <c r="D65" s="1002">
        <v>3046348917</v>
      </c>
      <c r="E65" s="1020">
        <v>1022092586</v>
      </c>
      <c r="G65" s="1032" t="s">
        <v>1069</v>
      </c>
      <c r="K65" s="618" t="s">
        <v>697</v>
      </c>
    </row>
    <row r="66" spans="1:11" ht="20.25" customHeight="1" thickBot="1">
      <c r="A66" s="992"/>
      <c r="B66" s="1001" t="s">
        <v>1040</v>
      </c>
      <c r="C66" s="1004" t="s">
        <v>1041</v>
      </c>
      <c r="D66" s="1002">
        <v>3113674276</v>
      </c>
      <c r="E66" s="1015">
        <v>43631290</v>
      </c>
      <c r="G66" s="1032" t="s">
        <v>1177</v>
      </c>
      <c r="K66" s="620" t="s">
        <v>741</v>
      </c>
    </row>
    <row r="67" spans="1:11" ht="20.25" customHeight="1" thickBot="1">
      <c r="A67" s="992"/>
      <c r="B67" s="1001" t="s">
        <v>1042</v>
      </c>
      <c r="C67" s="1001" t="s">
        <v>1043</v>
      </c>
      <c r="D67" s="1002">
        <v>3233236956</v>
      </c>
      <c r="E67" s="1015">
        <v>98614237</v>
      </c>
      <c r="G67" s="1032" t="s">
        <v>1116</v>
      </c>
      <c r="K67" s="616" t="s">
        <v>688</v>
      </c>
    </row>
    <row r="68" spans="1:11" ht="20.25" customHeight="1" thickBot="1">
      <c r="A68" s="990"/>
      <c r="B68" s="1007"/>
      <c r="C68" s="1007"/>
      <c r="D68" s="1008"/>
      <c r="G68" s="1032" t="s">
        <v>1071</v>
      </c>
      <c r="K68" s="618" t="s">
        <v>713</v>
      </c>
    </row>
    <row r="69" spans="1:11" ht="20.25" customHeight="1" thickBot="1">
      <c r="A69" s="990"/>
      <c r="B69" s="1007"/>
      <c r="C69" s="1007"/>
      <c r="D69" s="1008"/>
      <c r="G69" s="1032" t="s">
        <v>1028</v>
      </c>
      <c r="K69" s="622" t="s">
        <v>742</v>
      </c>
    </row>
    <row r="70" spans="1:11" ht="20.25" customHeight="1" thickBot="1">
      <c r="A70" s="991"/>
      <c r="B70" s="1018" t="s">
        <v>1044</v>
      </c>
      <c r="C70" s="1001" t="s">
        <v>1045</v>
      </c>
      <c r="D70" s="1002">
        <v>3136275411</v>
      </c>
      <c r="E70" s="1015">
        <v>70785238</v>
      </c>
      <c r="G70" s="1029" t="s">
        <v>941</v>
      </c>
      <c r="K70" s="618" t="s">
        <v>710</v>
      </c>
    </row>
    <row r="71" spans="1:11" ht="20.25" customHeight="1" thickBot="1">
      <c r="A71" s="992"/>
      <c r="B71" s="1018" t="s">
        <v>1046</v>
      </c>
      <c r="C71" s="1010" t="s">
        <v>1047</v>
      </c>
      <c r="D71" s="1002">
        <v>3128337704</v>
      </c>
      <c r="E71" s="1015">
        <v>21431758</v>
      </c>
      <c r="G71" s="1032" t="s">
        <v>1073</v>
      </c>
      <c r="K71" s="618" t="s">
        <v>693</v>
      </c>
    </row>
    <row r="72" spans="1:11" ht="20.25" customHeight="1" thickBot="1">
      <c r="A72" s="992"/>
      <c r="B72" s="1019" t="s">
        <v>1048</v>
      </c>
      <c r="C72" s="1001" t="s">
        <v>1049</v>
      </c>
      <c r="D72" s="1002">
        <v>3122596332</v>
      </c>
      <c r="E72" s="1015">
        <v>1022123644</v>
      </c>
      <c r="G72" s="1032" t="s">
        <v>1179</v>
      </c>
      <c r="K72" s="620" t="s">
        <v>735</v>
      </c>
    </row>
    <row r="73" spans="1:11" ht="20.25" customHeight="1" thickBot="1">
      <c r="A73" s="992"/>
      <c r="B73" s="1019" t="s">
        <v>1050</v>
      </c>
      <c r="C73" s="1001" t="s">
        <v>1051</v>
      </c>
      <c r="D73" s="1002">
        <v>3105450054</v>
      </c>
      <c r="E73" s="1015">
        <v>1036423743</v>
      </c>
      <c r="G73" s="1032" t="s">
        <v>1118</v>
      </c>
      <c r="K73" s="620" t="s">
        <v>734</v>
      </c>
    </row>
    <row r="74" spans="1:11" ht="20.25" customHeight="1" thickBot="1">
      <c r="A74" s="992"/>
      <c r="B74" s="1019" t="s">
        <v>1052</v>
      </c>
      <c r="C74" s="1001" t="s">
        <v>1053</v>
      </c>
      <c r="D74" s="1002">
        <v>3105362154</v>
      </c>
      <c r="E74" s="1015">
        <v>1038212741</v>
      </c>
      <c r="G74" s="1032" t="s">
        <v>1147</v>
      </c>
      <c r="K74" s="618" t="s">
        <v>711</v>
      </c>
    </row>
    <row r="75" spans="1:11" ht="20.25" customHeight="1" thickBot="1">
      <c r="A75" s="992"/>
      <c r="B75" s="1019" t="s">
        <v>1054</v>
      </c>
      <c r="C75" s="1001" t="s">
        <v>1055</v>
      </c>
      <c r="D75" s="1002">
        <v>3206826728</v>
      </c>
      <c r="E75" s="1015">
        <v>71117066</v>
      </c>
      <c r="G75" s="1032" t="s">
        <v>1149</v>
      </c>
      <c r="K75" s="618" t="s">
        <v>732</v>
      </c>
    </row>
    <row r="76" spans="1:11" ht="20.25" customHeight="1" thickBot="1">
      <c r="A76" s="992"/>
      <c r="B76" s="1019" t="s">
        <v>1056</v>
      </c>
      <c r="C76" s="1001" t="s">
        <v>1057</v>
      </c>
      <c r="D76" s="1002">
        <v>3113221536</v>
      </c>
      <c r="E76" s="1015">
        <v>43702243</v>
      </c>
      <c r="G76" s="1032" t="s">
        <v>1075</v>
      </c>
      <c r="K76" s="618" t="s">
        <v>694</v>
      </c>
    </row>
    <row r="77" spans="1:11" ht="20.25" customHeight="1" thickBot="1">
      <c r="A77" s="992"/>
      <c r="B77" s="1019" t="s">
        <v>1058</v>
      </c>
      <c r="C77" s="1001" t="s">
        <v>1059</v>
      </c>
      <c r="D77" s="1002">
        <v>3007134090</v>
      </c>
      <c r="E77" s="1015">
        <v>1128405850</v>
      </c>
      <c r="G77" s="1029" t="s">
        <v>929</v>
      </c>
      <c r="K77" s="618" t="s">
        <v>724</v>
      </c>
    </row>
    <row r="78" spans="1:11" ht="20.25" customHeight="1" thickBot="1">
      <c r="A78" s="992"/>
      <c r="B78" s="1019" t="s">
        <v>1060</v>
      </c>
      <c r="C78" s="1001" t="s">
        <v>1061</v>
      </c>
      <c r="D78" s="1002">
        <v>3245672800</v>
      </c>
      <c r="E78" s="1015">
        <v>70907509</v>
      </c>
      <c r="G78" s="1032" t="s">
        <v>1151</v>
      </c>
      <c r="K78" s="618" t="s">
        <v>720</v>
      </c>
    </row>
    <row r="79" spans="1:11" ht="20.25" customHeight="1" thickBot="1">
      <c r="A79" s="993" t="s">
        <v>1062</v>
      </c>
      <c r="B79" s="1019" t="s">
        <v>1063</v>
      </c>
      <c r="C79" s="1001" t="s">
        <v>1064</v>
      </c>
      <c r="D79" s="1002">
        <v>3014097164</v>
      </c>
      <c r="E79" s="1015">
        <v>70829828</v>
      </c>
      <c r="G79" s="1032" t="s">
        <v>1030</v>
      </c>
      <c r="K79" s="618" t="s">
        <v>705</v>
      </c>
    </row>
    <row r="80" spans="1:11" ht="20.25" customHeight="1" thickBot="1">
      <c r="A80" s="992"/>
      <c r="B80" s="1019" t="s">
        <v>1065</v>
      </c>
      <c r="C80" s="1001" t="s">
        <v>1066</v>
      </c>
      <c r="D80" s="1002">
        <v>3007853998</v>
      </c>
      <c r="E80" s="1015">
        <v>70756890</v>
      </c>
      <c r="G80" s="1032" t="s">
        <v>1032</v>
      </c>
      <c r="K80" s="622" t="s">
        <v>746</v>
      </c>
    </row>
    <row r="81" spans="1:11" ht="20.25" customHeight="1" thickBot="1">
      <c r="A81" s="992"/>
      <c r="B81" s="1019" t="s">
        <v>1067</v>
      </c>
      <c r="C81" s="1001" t="s">
        <v>1068</v>
      </c>
      <c r="D81" s="1002">
        <v>3242119495</v>
      </c>
      <c r="E81" s="1015">
        <v>1037236352</v>
      </c>
      <c r="G81" s="1032" t="s">
        <v>1120</v>
      </c>
      <c r="K81" s="622" t="s">
        <v>749</v>
      </c>
    </row>
    <row r="82" spans="1:11" ht="20.25" customHeight="1">
      <c r="A82" s="992"/>
      <c r="B82" s="1019" t="s">
        <v>1069</v>
      </c>
      <c r="C82" s="1001" t="s">
        <v>1070</v>
      </c>
      <c r="D82" s="1002">
        <v>3108362810</v>
      </c>
      <c r="E82" s="1015">
        <v>39189379</v>
      </c>
      <c r="G82" s="1030" t="s">
        <v>943</v>
      </c>
    </row>
    <row r="83" spans="1:11" ht="20.25" customHeight="1">
      <c r="A83" s="992"/>
      <c r="B83" s="1019" t="s">
        <v>1071</v>
      </c>
      <c r="C83" s="1001" t="s">
        <v>1072</v>
      </c>
      <c r="D83" s="1002">
        <v>3147782428</v>
      </c>
      <c r="E83" s="1015">
        <v>43472416</v>
      </c>
      <c r="G83" s="1029" t="s">
        <v>945</v>
      </c>
    </row>
    <row r="84" spans="1:11" ht="20.25" customHeight="1">
      <c r="A84" s="992"/>
      <c r="B84" s="1019" t="s">
        <v>1073</v>
      </c>
      <c r="C84" s="1001" t="s">
        <v>1074</v>
      </c>
      <c r="D84" s="1002">
        <v>3105067555</v>
      </c>
      <c r="E84" s="1015">
        <v>1038412039</v>
      </c>
      <c r="G84" s="1029" t="s">
        <v>947</v>
      </c>
    </row>
    <row r="85" spans="1:11" ht="20.25" customHeight="1">
      <c r="A85" s="992"/>
      <c r="B85" s="1019" t="s">
        <v>1075</v>
      </c>
      <c r="C85" s="1001" t="s">
        <v>1076</v>
      </c>
      <c r="D85" s="1002">
        <v>3137158166</v>
      </c>
      <c r="E85" s="1015">
        <v>1152444377</v>
      </c>
      <c r="G85" s="1029" t="s">
        <v>958</v>
      </c>
    </row>
    <row r="86" spans="1:11" ht="20.25" customHeight="1">
      <c r="A86" s="992"/>
      <c r="B86" s="1019" t="s">
        <v>1077</v>
      </c>
      <c r="C86" s="1001" t="s">
        <v>1078</v>
      </c>
      <c r="D86" s="1002">
        <v>3148147277</v>
      </c>
      <c r="E86" s="1015">
        <v>15431990</v>
      </c>
      <c r="G86" s="1032" t="s">
        <v>1077</v>
      </c>
    </row>
    <row r="87" spans="1:11" ht="20.25" customHeight="1">
      <c r="A87" s="992"/>
      <c r="B87" s="1019" t="s">
        <v>1079</v>
      </c>
      <c r="C87" s="1001" t="s">
        <v>1080</v>
      </c>
      <c r="D87" s="1002">
        <v>3137828718</v>
      </c>
      <c r="E87" s="1015">
        <v>1037949596</v>
      </c>
      <c r="G87" s="1032" t="s">
        <v>1034</v>
      </c>
    </row>
    <row r="88" spans="1:11" ht="20.25" customHeight="1">
      <c r="A88" s="992"/>
      <c r="B88" s="1019" t="s">
        <v>1081</v>
      </c>
      <c r="C88" s="1001" t="s">
        <v>1082</v>
      </c>
      <c r="D88" s="1002">
        <v>3217817539</v>
      </c>
      <c r="E88" s="1015">
        <v>98647977</v>
      </c>
      <c r="G88" s="1032" t="s">
        <v>1181</v>
      </c>
    </row>
    <row r="89" spans="1:11" ht="20.25" customHeight="1">
      <c r="A89" s="992"/>
      <c r="B89" s="1019" t="s">
        <v>1083</v>
      </c>
      <c r="C89" s="1001" t="s">
        <v>1084</v>
      </c>
      <c r="D89" s="1002">
        <v>3217300955</v>
      </c>
      <c r="E89" s="1015">
        <v>70352997</v>
      </c>
      <c r="G89" s="1032" t="s">
        <v>1122</v>
      </c>
    </row>
    <row r="90" spans="1:11" ht="20.25" customHeight="1">
      <c r="A90" s="992"/>
      <c r="B90" s="1019" t="s">
        <v>1085</v>
      </c>
      <c r="C90" s="1001" t="s">
        <v>1086</v>
      </c>
      <c r="D90" s="1002">
        <v>3122082621</v>
      </c>
      <c r="E90" s="1015">
        <v>71005275</v>
      </c>
      <c r="G90" s="1031" t="s">
        <v>993</v>
      </c>
    </row>
    <row r="91" spans="1:11" ht="20.25" customHeight="1">
      <c r="A91" s="992"/>
      <c r="B91" s="1019" t="s">
        <v>1087</v>
      </c>
      <c r="C91" s="1001" t="s">
        <v>1088</v>
      </c>
      <c r="D91" s="1002">
        <v>3117100947</v>
      </c>
      <c r="E91" s="1015">
        <v>70289662</v>
      </c>
      <c r="G91" s="1032" t="s">
        <v>1079</v>
      </c>
    </row>
    <row r="92" spans="1:11" ht="20.25" customHeight="1">
      <c r="A92" s="994"/>
      <c r="B92" s="1019" t="s">
        <v>1089</v>
      </c>
      <c r="C92" s="1001" t="s">
        <v>1090</v>
      </c>
      <c r="D92" s="1002">
        <v>3102653396</v>
      </c>
      <c r="E92" s="1015">
        <v>1152442854</v>
      </c>
      <c r="G92" s="1032" t="s">
        <v>1081</v>
      </c>
    </row>
    <row r="93" spans="1:11" ht="20.25" customHeight="1">
      <c r="A93" s="990"/>
      <c r="B93" s="1007"/>
      <c r="C93" s="1007"/>
      <c r="D93" s="1008"/>
      <c r="G93" s="1032" t="s">
        <v>1036</v>
      </c>
    </row>
    <row r="94" spans="1:11" ht="20.25" customHeight="1">
      <c r="A94" s="990"/>
      <c r="B94" s="1007"/>
      <c r="C94" s="1007"/>
      <c r="D94" s="1008"/>
      <c r="G94" s="1031" t="s">
        <v>995</v>
      </c>
    </row>
    <row r="95" spans="1:11" ht="20.25" customHeight="1">
      <c r="A95" s="991"/>
      <c r="B95" s="1001" t="s">
        <v>1091</v>
      </c>
      <c r="C95" s="1001" t="s">
        <v>1092</v>
      </c>
      <c r="D95" s="1002">
        <v>3105157250</v>
      </c>
      <c r="E95" s="1005">
        <v>98479454</v>
      </c>
      <c r="G95" s="1032" t="s">
        <v>1153</v>
      </c>
    </row>
    <row r="96" spans="1:11" ht="20.25" customHeight="1">
      <c r="A96" s="992"/>
      <c r="B96" s="1001" t="s">
        <v>1093</v>
      </c>
      <c r="C96" s="1001" t="s">
        <v>1094</v>
      </c>
      <c r="D96" s="1002">
        <v>3146814420</v>
      </c>
      <c r="E96" s="1005">
        <v>3379220</v>
      </c>
      <c r="G96" s="1032" t="s">
        <v>1083</v>
      </c>
    </row>
    <row r="97" spans="1:7" ht="20.25" customHeight="1">
      <c r="A97" s="992"/>
      <c r="B97" s="1001" t="s">
        <v>1095</v>
      </c>
      <c r="C97" s="1001" t="s">
        <v>1096</v>
      </c>
      <c r="D97" s="1002">
        <v>3215266798</v>
      </c>
      <c r="E97" s="1005">
        <v>1015277728</v>
      </c>
      <c r="G97" s="1031" t="s">
        <v>997</v>
      </c>
    </row>
    <row r="98" spans="1:7" ht="20.25" customHeight="1">
      <c r="A98" s="993" t="s">
        <v>1097</v>
      </c>
      <c r="B98" s="1001" t="s">
        <v>1098</v>
      </c>
      <c r="C98" s="1001" t="s">
        <v>1099</v>
      </c>
      <c r="D98" s="1002">
        <v>3205745832</v>
      </c>
      <c r="E98" s="1005">
        <v>98639115</v>
      </c>
      <c r="G98" s="1032" t="s">
        <v>1155</v>
      </c>
    </row>
    <row r="99" spans="1:7" ht="20.25" customHeight="1">
      <c r="A99" s="992"/>
      <c r="B99" s="1001" t="s">
        <v>1100</v>
      </c>
      <c r="C99" s="1001" t="s">
        <v>1101</v>
      </c>
      <c r="D99" s="1002">
        <v>3164715789</v>
      </c>
      <c r="E99" s="1005">
        <v>71277067</v>
      </c>
      <c r="G99" s="1032" t="s">
        <v>1085</v>
      </c>
    </row>
    <row r="100" spans="1:7" ht="20.25" customHeight="1">
      <c r="A100" s="992"/>
      <c r="B100" s="1001" t="s">
        <v>1102</v>
      </c>
      <c r="C100" s="1001" t="s">
        <v>1103</v>
      </c>
      <c r="D100" s="1002">
        <v>314873588</v>
      </c>
      <c r="E100" s="1005">
        <v>71992851</v>
      </c>
      <c r="G100" s="1029" t="s">
        <v>960</v>
      </c>
    </row>
    <row r="101" spans="1:7" ht="20.25" customHeight="1">
      <c r="A101" s="992"/>
      <c r="B101" s="1001" t="s">
        <v>1104</v>
      </c>
      <c r="C101" s="1001" t="s">
        <v>1105</v>
      </c>
      <c r="D101" s="1002">
        <v>3116166678</v>
      </c>
      <c r="E101" s="1005">
        <v>70411862</v>
      </c>
      <c r="G101" s="1032" t="s">
        <v>1087</v>
      </c>
    </row>
    <row r="102" spans="1:7" ht="20.25" customHeight="1">
      <c r="A102" s="992"/>
      <c r="B102" s="1001" t="s">
        <v>1106</v>
      </c>
      <c r="C102" s="1001" t="s">
        <v>1107</v>
      </c>
      <c r="D102" s="1002">
        <v>3146239334</v>
      </c>
      <c r="E102" s="1005">
        <v>43628557</v>
      </c>
      <c r="G102" s="1032" t="s">
        <v>1124</v>
      </c>
    </row>
    <row r="103" spans="1:7" ht="20.25" customHeight="1">
      <c r="A103" s="992"/>
      <c r="B103" s="1001" t="s">
        <v>1108</v>
      </c>
      <c r="C103" s="1001" t="s">
        <v>1109</v>
      </c>
      <c r="D103" s="1002">
        <v>3148300233</v>
      </c>
      <c r="E103" s="1005">
        <v>8461720</v>
      </c>
      <c r="G103" s="1032" t="s">
        <v>1038</v>
      </c>
    </row>
    <row r="104" spans="1:7" ht="20.25" customHeight="1">
      <c r="A104" s="992"/>
      <c r="B104" s="1001" t="s">
        <v>1110</v>
      </c>
      <c r="C104" s="1001" t="s">
        <v>1111</v>
      </c>
      <c r="D104" s="1002">
        <v>3117498662</v>
      </c>
      <c r="E104" s="1005">
        <v>3367130</v>
      </c>
      <c r="G104" s="1029" t="s">
        <v>999</v>
      </c>
    </row>
    <row r="105" spans="1:7" ht="20.25" customHeight="1">
      <c r="A105" s="992"/>
      <c r="B105" s="1001" t="s">
        <v>1112</v>
      </c>
      <c r="C105" s="1001" t="s">
        <v>1113</v>
      </c>
      <c r="D105" s="1002">
        <v>3114263704</v>
      </c>
      <c r="E105" s="1005">
        <v>42731781</v>
      </c>
      <c r="G105" s="1029" t="s">
        <v>962</v>
      </c>
    </row>
    <row r="106" spans="1:7" ht="20.25" customHeight="1">
      <c r="A106" s="992"/>
      <c r="B106" s="1001" t="s">
        <v>1114</v>
      </c>
      <c r="C106" s="1001" t="s">
        <v>1115</v>
      </c>
      <c r="D106" s="1002">
        <v>3146239334</v>
      </c>
      <c r="E106" s="1005">
        <v>1039022765</v>
      </c>
      <c r="G106" s="1029" t="s">
        <v>964</v>
      </c>
    </row>
    <row r="107" spans="1:7" ht="20.25" customHeight="1">
      <c r="A107" s="992"/>
      <c r="B107" s="1001" t="s">
        <v>1116</v>
      </c>
      <c r="C107" s="1001" t="s">
        <v>1117</v>
      </c>
      <c r="D107" s="1002">
        <v>3122866607</v>
      </c>
      <c r="E107" s="1005">
        <v>1060586133</v>
      </c>
      <c r="G107" s="1032" t="s">
        <v>1089</v>
      </c>
    </row>
    <row r="108" spans="1:7" ht="20.25" customHeight="1">
      <c r="A108" s="992"/>
      <c r="B108" s="1001" t="s">
        <v>1118</v>
      </c>
      <c r="C108" s="1001" t="s">
        <v>1119</v>
      </c>
      <c r="D108" s="1002">
        <v>3146082027</v>
      </c>
      <c r="E108" s="1005">
        <v>71141781</v>
      </c>
      <c r="G108" s="1032" t="s">
        <v>1040</v>
      </c>
    </row>
    <row r="109" spans="1:7" ht="20.25" customHeight="1">
      <c r="A109" s="992"/>
      <c r="B109" s="1001" t="s">
        <v>1120</v>
      </c>
      <c r="C109" s="1001" t="s">
        <v>1121</v>
      </c>
      <c r="D109" s="1008">
        <v>3137756163</v>
      </c>
      <c r="E109" s="1005">
        <v>1039421405</v>
      </c>
      <c r="G109" s="1032" t="s">
        <v>1126</v>
      </c>
    </row>
    <row r="110" spans="1:7" ht="20.25" customHeight="1">
      <c r="A110" s="992"/>
      <c r="B110" s="1001" t="s">
        <v>1122</v>
      </c>
      <c r="C110" s="1001" t="s">
        <v>1123</v>
      </c>
      <c r="D110" s="1002">
        <v>3006859618</v>
      </c>
      <c r="E110" s="1005">
        <v>3568135</v>
      </c>
      <c r="G110" s="1029" t="s">
        <v>931</v>
      </c>
    </row>
    <row r="111" spans="1:7" ht="20.25" customHeight="1">
      <c r="A111" s="992"/>
      <c r="B111" s="1001" t="s">
        <v>1124</v>
      </c>
      <c r="C111" s="1001" t="s">
        <v>1125</v>
      </c>
      <c r="D111" s="1002">
        <v>3136074157</v>
      </c>
      <c r="E111" s="1005">
        <v>15338145</v>
      </c>
      <c r="G111" s="1032" t="s">
        <v>1128</v>
      </c>
    </row>
    <row r="112" spans="1:7" ht="20.25" customHeight="1">
      <c r="A112" s="992"/>
      <c r="B112" s="1001" t="s">
        <v>1126</v>
      </c>
      <c r="C112" s="1001" t="s">
        <v>1127</v>
      </c>
      <c r="D112" s="1002">
        <v>3183364802</v>
      </c>
      <c r="E112" s="1005">
        <v>1045049259</v>
      </c>
      <c r="G112" s="1032" t="s">
        <v>1130</v>
      </c>
    </row>
    <row r="113" spans="1:7" ht="20.25" customHeight="1">
      <c r="A113" s="992"/>
      <c r="B113" s="1001" t="s">
        <v>1128</v>
      </c>
      <c r="C113" s="1001" t="s">
        <v>1129</v>
      </c>
      <c r="D113" s="1002">
        <v>3136616970</v>
      </c>
      <c r="E113" s="1005">
        <v>98454207</v>
      </c>
      <c r="G113" s="1031" t="s">
        <v>1001</v>
      </c>
    </row>
    <row r="114" spans="1:7" ht="20.25" customHeight="1">
      <c r="A114" s="992"/>
      <c r="B114" s="1001" t="s">
        <v>1130</v>
      </c>
      <c r="C114" s="1001" t="s">
        <v>1131</v>
      </c>
      <c r="D114" s="1002">
        <v>3046357020</v>
      </c>
      <c r="E114" s="1005">
        <v>1214718921</v>
      </c>
      <c r="G114" s="1032" t="s">
        <v>1157</v>
      </c>
    </row>
    <row r="115" spans="1:7" ht="20.25" customHeight="1">
      <c r="A115" s="992"/>
      <c r="B115" s="1001" t="s">
        <v>1132</v>
      </c>
      <c r="C115" s="1001" t="s">
        <v>1133</v>
      </c>
      <c r="D115" s="1002">
        <v>3135578636</v>
      </c>
      <c r="E115" s="1005">
        <v>15488129</v>
      </c>
      <c r="G115" s="1032" t="s">
        <v>1042</v>
      </c>
    </row>
    <row r="116" spans="1:7" ht="20.25" customHeight="1">
      <c r="A116" s="992"/>
      <c r="B116" s="1001" t="s">
        <v>1134</v>
      </c>
      <c r="C116" s="1001" t="s">
        <v>1135</v>
      </c>
      <c r="D116" s="1002">
        <v>3136160880</v>
      </c>
      <c r="E116" s="1005">
        <v>1041610946</v>
      </c>
      <c r="G116" s="1032" t="s">
        <v>1132</v>
      </c>
    </row>
    <row r="117" spans="1:7" ht="20.25" customHeight="1">
      <c r="A117" s="994"/>
      <c r="B117" s="1001" t="s">
        <v>1136</v>
      </c>
      <c r="C117" s="1001" t="s">
        <v>1137</v>
      </c>
      <c r="D117" s="1002">
        <v>3128376097</v>
      </c>
      <c r="E117" s="1005">
        <v>8463360</v>
      </c>
      <c r="G117" s="1029" t="s">
        <v>935</v>
      </c>
    </row>
    <row r="118" spans="1:7" ht="20.25" customHeight="1">
      <c r="A118" s="990"/>
      <c r="B118" s="1007"/>
      <c r="C118" s="1007"/>
      <c r="D118" s="1008"/>
      <c r="G118" s="1031" t="s">
        <v>935</v>
      </c>
    </row>
    <row r="119" spans="1:7" ht="20.25" customHeight="1">
      <c r="A119" s="990"/>
      <c r="B119" s="1007"/>
      <c r="C119" s="1007"/>
      <c r="D119" s="1008"/>
      <c r="G119" s="1032" t="s">
        <v>1134</v>
      </c>
    </row>
    <row r="120" spans="1:7" ht="20.25" customHeight="1">
      <c r="A120" s="990"/>
      <c r="B120" s="1007"/>
      <c r="C120" s="1007"/>
      <c r="D120" s="1008"/>
      <c r="G120" s="1029" t="s">
        <v>966</v>
      </c>
    </row>
    <row r="121" spans="1:7" ht="20.25" customHeight="1">
      <c r="A121" s="991"/>
      <c r="B121" s="1001" t="s">
        <v>1138</v>
      </c>
      <c r="C121" s="1001" t="s">
        <v>1139</v>
      </c>
      <c r="D121" s="1002">
        <v>3148409182</v>
      </c>
      <c r="E121" s="1005">
        <v>71945072</v>
      </c>
      <c r="G121" s="1032" t="s">
        <v>1136</v>
      </c>
    </row>
    <row r="122" spans="1:7" ht="20.25" customHeight="1">
      <c r="A122" s="992"/>
      <c r="B122" s="1001" t="s">
        <v>1140</v>
      </c>
      <c r="C122" s="1001" t="s">
        <v>1141</v>
      </c>
      <c r="D122" s="1002">
        <v>3146220146</v>
      </c>
      <c r="E122" s="1005">
        <v>70525527</v>
      </c>
      <c r="G122" s="1032" t="s">
        <v>1159</v>
      </c>
    </row>
    <row r="123" spans="1:7" ht="20.25" customHeight="1">
      <c r="A123" s="992"/>
      <c r="B123" s="1001" t="s">
        <v>1142</v>
      </c>
      <c r="C123" s="1001" t="s">
        <v>1143</v>
      </c>
      <c r="D123" s="1002">
        <v>3217614499</v>
      </c>
      <c r="E123" s="1005">
        <v>4808313</v>
      </c>
      <c r="G123" s="1029" t="s">
        <v>968</v>
      </c>
    </row>
    <row r="124" spans="1:7" ht="20.25" customHeight="1">
      <c r="A124" s="992"/>
      <c r="B124" s="1001" t="s">
        <v>1144</v>
      </c>
      <c r="C124" s="1001" t="s">
        <v>1145</v>
      </c>
      <c r="D124" s="1002">
        <v>3104584949</v>
      </c>
      <c r="E124" s="1005">
        <v>43271081</v>
      </c>
      <c r="G124" s="1031" t="s">
        <v>1003</v>
      </c>
    </row>
    <row r="125" spans="1:7" ht="20.25" customHeight="1">
      <c r="A125" s="993" t="s">
        <v>1146</v>
      </c>
      <c r="B125" s="1001" t="s">
        <v>1147</v>
      </c>
      <c r="C125" s="1001" t="s">
        <v>1148</v>
      </c>
      <c r="D125" s="1002">
        <v>3225256663</v>
      </c>
      <c r="E125" s="1005">
        <v>21881049</v>
      </c>
      <c r="G125" s="1030" t="s">
        <v>970</v>
      </c>
    </row>
    <row r="126" spans="1:7" ht="20.25" customHeight="1">
      <c r="A126" s="992"/>
      <c r="B126" s="1001" t="s">
        <v>1149</v>
      </c>
      <c r="C126" s="1001" t="s">
        <v>1150</v>
      </c>
      <c r="D126" s="1002">
        <v>3205788871</v>
      </c>
      <c r="E126" s="1005">
        <v>6706923</v>
      </c>
      <c r="G126" s="1029" t="s">
        <v>949</v>
      </c>
    </row>
    <row r="127" spans="1:7" ht="20.25" customHeight="1">
      <c r="A127" s="992"/>
      <c r="B127" s="1001" t="s">
        <v>1151</v>
      </c>
      <c r="C127" s="1001" t="s">
        <v>1152</v>
      </c>
      <c r="D127" s="1002">
        <v>3136578035</v>
      </c>
      <c r="E127" s="1005">
        <v>71618388</v>
      </c>
      <c r="G127" s="1029" t="s">
        <v>933</v>
      </c>
    </row>
    <row r="128" spans="1:7" ht="20.25" customHeight="1">
      <c r="A128" s="992"/>
      <c r="B128" s="1001" t="s">
        <v>1153</v>
      </c>
      <c r="C128" s="1001" t="s">
        <v>1154</v>
      </c>
      <c r="D128" s="1002">
        <v>3145615174</v>
      </c>
      <c r="E128" s="1021">
        <v>22167455</v>
      </c>
    </row>
    <row r="129" spans="1:5" ht="20.25" customHeight="1">
      <c r="A129" s="992"/>
      <c r="B129" s="1001" t="s">
        <v>1155</v>
      </c>
      <c r="C129" s="1001" t="s">
        <v>1156</v>
      </c>
      <c r="D129" s="1002">
        <v>3114121415</v>
      </c>
      <c r="E129" s="1005">
        <v>72285817</v>
      </c>
    </row>
    <row r="130" spans="1:5" ht="20.25" customHeight="1">
      <c r="A130" s="992"/>
      <c r="B130" s="1001" t="s">
        <v>1157</v>
      </c>
      <c r="C130" s="1001" t="s">
        <v>1158</v>
      </c>
      <c r="D130" s="1002">
        <v>3045574972</v>
      </c>
      <c r="E130" s="1005">
        <v>71758044</v>
      </c>
    </row>
    <row r="131" spans="1:5" ht="20.25" customHeight="1">
      <c r="A131" s="994"/>
      <c r="B131" s="1001" t="s">
        <v>1159</v>
      </c>
      <c r="C131" s="1001" t="s">
        <v>1160</v>
      </c>
      <c r="D131" s="1002">
        <v>3137987896</v>
      </c>
      <c r="E131" s="1005">
        <v>1067841022</v>
      </c>
    </row>
    <row r="132" spans="1:5" ht="20.25" customHeight="1">
      <c r="A132" s="990"/>
      <c r="B132" s="1007"/>
      <c r="C132" s="1007"/>
      <c r="D132" s="1008"/>
    </row>
    <row r="133" spans="1:5" ht="20.25" customHeight="1">
      <c r="A133" s="990"/>
      <c r="B133" s="1007"/>
      <c r="C133" s="1007"/>
      <c r="D133" s="1008"/>
    </row>
    <row r="134" spans="1:5" ht="20.25" customHeight="1">
      <c r="A134" s="990"/>
      <c r="B134" s="1007"/>
      <c r="C134" s="1007"/>
      <c r="D134" s="1008"/>
    </row>
    <row r="135" spans="1:5" ht="20.25" customHeight="1">
      <c r="A135" s="991"/>
      <c r="B135" s="1001" t="s">
        <v>1161</v>
      </c>
      <c r="C135" s="1001" t="s">
        <v>1162</v>
      </c>
      <c r="D135" s="1002">
        <v>3206389817</v>
      </c>
      <c r="E135" s="1015">
        <v>70142186</v>
      </c>
    </row>
    <row r="136" spans="1:5" ht="20.25" customHeight="1">
      <c r="A136" s="992"/>
      <c r="B136" s="1001" t="s">
        <v>1163</v>
      </c>
      <c r="C136" s="1001" t="s">
        <v>1164</v>
      </c>
      <c r="D136" s="1002">
        <v>3003582684</v>
      </c>
      <c r="E136" s="1022">
        <v>43915402</v>
      </c>
    </row>
    <row r="137" spans="1:5" ht="20.25" customHeight="1">
      <c r="A137" s="992"/>
      <c r="B137" s="1014" t="s">
        <v>1165</v>
      </c>
      <c r="C137" s="1014" t="s">
        <v>1166</v>
      </c>
      <c r="D137" s="1017" t="s">
        <v>1167</v>
      </c>
      <c r="E137" s="1015">
        <v>71393776</v>
      </c>
    </row>
    <row r="138" spans="1:5" ht="20.25" customHeight="1">
      <c r="A138" s="992"/>
      <c r="B138" s="1001" t="s">
        <v>1168</v>
      </c>
      <c r="C138" s="1001" t="s">
        <v>1169</v>
      </c>
      <c r="D138" s="1002">
        <v>3105046920</v>
      </c>
      <c r="E138" s="1015">
        <v>1035432689</v>
      </c>
    </row>
    <row r="139" spans="1:5" ht="20.25" customHeight="1">
      <c r="A139" s="996" t="s">
        <v>1170</v>
      </c>
      <c r="B139" s="997" t="s">
        <v>1171</v>
      </c>
      <c r="C139" s="1001" t="s">
        <v>1172</v>
      </c>
      <c r="D139" s="1002">
        <v>3113906931</v>
      </c>
      <c r="E139" s="1015">
        <v>98554331</v>
      </c>
    </row>
    <row r="140" spans="1:5" ht="20.25" customHeight="1">
      <c r="A140" s="992"/>
      <c r="B140" s="1001" t="s">
        <v>1173</v>
      </c>
      <c r="C140" s="1001" t="s">
        <v>1174</v>
      </c>
      <c r="D140" s="1002">
        <v>3127277061</v>
      </c>
      <c r="E140" s="1023">
        <v>1143232334</v>
      </c>
    </row>
    <row r="141" spans="1:5" ht="20.25" customHeight="1">
      <c r="A141" s="992"/>
      <c r="B141" s="1001" t="s">
        <v>1175</v>
      </c>
      <c r="C141" s="1001" t="s">
        <v>1176</v>
      </c>
      <c r="D141" s="1002">
        <v>3008766044</v>
      </c>
      <c r="E141" s="1015">
        <v>71271312</v>
      </c>
    </row>
    <row r="142" spans="1:5" ht="20.25" customHeight="1">
      <c r="A142" s="992"/>
      <c r="B142" s="1001" t="s">
        <v>1177</v>
      </c>
      <c r="C142" s="1001" t="s">
        <v>1178</v>
      </c>
      <c r="D142" s="1002">
        <v>3146792067</v>
      </c>
      <c r="E142" s="1024"/>
    </row>
    <row r="143" spans="1:5" ht="20.25" customHeight="1">
      <c r="A143" s="992"/>
      <c r="B143" s="1001" t="s">
        <v>1179</v>
      </c>
      <c r="C143" s="1001" t="s">
        <v>1180</v>
      </c>
      <c r="D143" s="1025">
        <v>3146186766</v>
      </c>
      <c r="E143" s="1015">
        <v>71751933</v>
      </c>
    </row>
    <row r="144" spans="1:5" ht="20.25" customHeight="1">
      <c r="A144" s="994"/>
      <c r="B144" s="1001" t="s">
        <v>1181</v>
      </c>
      <c r="C144" s="1001" t="s">
        <v>1182</v>
      </c>
      <c r="D144" s="1002">
        <v>3122405862</v>
      </c>
      <c r="E144" s="1015">
        <v>8359357</v>
      </c>
    </row>
    <row r="149" spans="3:3" ht="20.25" customHeight="1">
      <c r="C149" s="999" t="s">
        <v>170</v>
      </c>
    </row>
  </sheetData>
  <sheetProtection algorithmName="SHA-512" hashValue="p01cTfj2AWM+wtXqs5RLRb3CaJ3+XKPEN+uv8FZlkOGRuibtmBR9zKMELuI7lWjW5+FY/SUxYmSC3Gtk+WN+1A==" saltValue="81WqlZBDSKKc4FqVnBCZpw==" spinCount="100000" sheet="1" formatCells="0" formatColumns="0" formatRows="0" insertColumns="0" insertRows="0" insertHyperlinks="0" deleteColumns="0" deleteRows="0" sort="0" autoFilter="0" pivotTables="0"/>
  <sortState xmlns:xlrd2="http://schemas.microsoft.com/office/spreadsheetml/2017/richdata2" ref="K3:K81">
    <sortCondition ref="K2:K8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171"/>
  <sheetViews>
    <sheetView showGridLines="0" topLeftCell="E117" zoomScale="89" zoomScaleNormal="89" zoomScaleSheetLayoutView="130" workbookViewId="0">
      <selection activeCell="AA131" sqref="AA131"/>
    </sheetView>
  </sheetViews>
  <sheetFormatPr baseColWidth="10" defaultColWidth="15.1640625" defaultRowHeight="12.75"/>
  <cols>
    <col min="1" max="1" width="2.83203125" style="1" customWidth="1"/>
    <col min="2" max="2" width="34.6640625" style="1" customWidth="1"/>
    <col min="3" max="3" width="19.83203125" style="1" customWidth="1"/>
    <col min="4" max="4" width="28.83203125" style="1" customWidth="1"/>
    <col min="5" max="5" width="15.1640625" style="1" customWidth="1"/>
    <col min="6" max="6" width="20.33203125" style="1" customWidth="1"/>
    <col min="7" max="7" width="22.33203125" style="1" customWidth="1"/>
    <col min="8" max="8" width="21" style="1" customWidth="1"/>
    <col min="9" max="9" width="22.33203125" style="1" customWidth="1"/>
    <col min="10" max="11" width="22.33203125" style="1" hidden="1" customWidth="1"/>
    <col min="12" max="12" width="18.1640625" style="1" hidden="1" customWidth="1"/>
    <col min="13" max="13" width="20.33203125" style="1" hidden="1" customWidth="1"/>
    <col min="14" max="14" width="16.6640625" style="1" hidden="1" customWidth="1"/>
    <col min="15" max="15" width="17" style="1" hidden="1" customWidth="1"/>
    <col min="16" max="20" width="15.1640625" style="1" hidden="1" customWidth="1"/>
    <col min="21" max="21" width="21.5" style="1" customWidth="1"/>
    <col min="22" max="22" width="21.83203125" style="1" customWidth="1"/>
    <col min="23" max="16384" width="15.1640625" style="1"/>
  </cols>
  <sheetData>
    <row r="2" spans="2:11" ht="54" customHeight="1">
      <c r="B2" s="1143"/>
      <c r="C2" s="1144"/>
      <c r="D2" s="1133" t="str">
        <f>'Tablas BD'!M3</f>
        <v>PRESUPUESTO OFICIAL
ESTUDIOS PREVIOS 
CONVENIO INTERADMINISTRATIVO 
 “Aunar esfuerzos con el municipio de Santa Fe de Antioquia para cofinanciar el saneamiento hídrico rural en su territorio"
MODALIDAD DE SELECCIÓN - OBJETO 
Convenio interadministrativo</v>
      </c>
      <c r="E2" s="1134"/>
      <c r="F2" s="1134"/>
      <c r="G2" s="1134"/>
      <c r="H2" s="1135" t="s">
        <v>72</v>
      </c>
      <c r="I2" s="1135"/>
      <c r="J2" s="718"/>
      <c r="K2" s="718"/>
    </row>
    <row r="3" spans="2:11" ht="57" customHeight="1">
      <c r="B3" s="1145"/>
      <c r="C3" s="1146"/>
      <c r="D3" s="1133"/>
      <c r="E3" s="1134"/>
      <c r="F3" s="1134"/>
      <c r="G3" s="1134"/>
      <c r="H3" s="1135" t="s">
        <v>73</v>
      </c>
      <c r="I3" s="1135"/>
      <c r="J3" s="718"/>
      <c r="K3" s="718"/>
    </row>
    <row r="4" spans="2:11" ht="11.25" customHeight="1" thickBot="1">
      <c r="E4" s="2"/>
      <c r="F4" s="2"/>
      <c r="G4" s="2"/>
      <c r="H4" s="3"/>
      <c r="I4" s="3"/>
      <c r="J4" s="3"/>
      <c r="K4" s="3"/>
    </row>
    <row r="5" spans="2:11" ht="16.5" customHeight="1" thickBot="1">
      <c r="B5" s="1136" t="s">
        <v>74</v>
      </c>
      <c r="C5" s="1137"/>
      <c r="D5" s="1137"/>
      <c r="E5" s="1137"/>
      <c r="F5" s="1137"/>
      <c r="G5" s="1137"/>
      <c r="H5" s="1137"/>
      <c r="I5" s="1138"/>
      <c r="J5" s="719"/>
      <c r="K5" s="719"/>
    </row>
    <row r="6" spans="2:11" ht="40.5" customHeight="1" thickBot="1">
      <c r="B6" s="4" t="s">
        <v>75</v>
      </c>
      <c r="C6" s="5" t="s">
        <v>76</v>
      </c>
      <c r="D6" s="5" t="s">
        <v>77</v>
      </c>
      <c r="E6" s="5" t="s">
        <v>78</v>
      </c>
      <c r="F6" s="5" t="s">
        <v>79</v>
      </c>
      <c r="G6" s="5" t="s">
        <v>80</v>
      </c>
      <c r="H6" s="5" t="s">
        <v>81</v>
      </c>
      <c r="I6" s="869" t="s">
        <v>82</v>
      </c>
      <c r="J6" s="720"/>
      <c r="K6" s="720"/>
    </row>
    <row r="7" spans="2:11" ht="12.75" customHeight="1">
      <c r="B7" s="1127" t="s">
        <v>83</v>
      </c>
      <c r="C7" s="1128"/>
      <c r="D7" s="1128"/>
      <c r="E7" s="1128"/>
      <c r="F7" s="1128"/>
      <c r="G7" s="1128"/>
      <c r="H7" s="1128"/>
      <c r="I7" s="1129"/>
      <c r="J7" s="719"/>
      <c r="K7" s="719"/>
    </row>
    <row r="8" spans="2:11" ht="16.5" customHeight="1">
      <c r="B8" s="6"/>
      <c r="C8" s="7"/>
      <c r="D8" s="8"/>
      <c r="E8" s="9"/>
      <c r="F8" s="10"/>
      <c r="G8" s="11"/>
      <c r="H8" s="12"/>
      <c r="I8" s="13"/>
      <c r="J8" s="721"/>
      <c r="K8" s="721"/>
    </row>
    <row r="9" spans="2:11" ht="16.5" customHeight="1">
      <c r="B9" s="14"/>
      <c r="C9" s="15"/>
      <c r="D9" s="16"/>
      <c r="E9" s="15"/>
      <c r="F9" s="10"/>
      <c r="G9" s="17"/>
      <c r="H9" s="12"/>
      <c r="I9" s="13"/>
      <c r="J9" s="721"/>
      <c r="K9" s="721"/>
    </row>
    <row r="10" spans="2:11" ht="12.75" customHeight="1">
      <c r="B10" s="6"/>
      <c r="C10" s="9"/>
      <c r="D10" s="8"/>
      <c r="E10" s="9"/>
      <c r="F10" s="10"/>
      <c r="G10" s="11"/>
      <c r="H10" s="9"/>
      <c r="I10" s="13">
        <f>+C10*D10*F10*G10*H10</f>
        <v>0</v>
      </c>
      <c r="J10" s="721"/>
      <c r="K10" s="721"/>
    </row>
    <row r="11" spans="2:11" ht="13.5" customHeight="1" thickBot="1">
      <c r="B11" s="1139" t="s">
        <v>84</v>
      </c>
      <c r="C11" s="1140"/>
      <c r="D11" s="1140"/>
      <c r="E11" s="1141"/>
      <c r="F11" s="1141"/>
      <c r="G11" s="1141"/>
      <c r="H11" s="1142"/>
      <c r="I11" s="18">
        <f>SUM(I8:I10)</f>
        <v>0</v>
      </c>
      <c r="J11" s="722"/>
      <c r="K11" s="722"/>
    </row>
    <row r="12" spans="2:11" ht="12.75" customHeight="1">
      <c r="B12" s="1127" t="s">
        <v>85</v>
      </c>
      <c r="C12" s="1128"/>
      <c r="D12" s="1128"/>
      <c r="E12" s="1128"/>
      <c r="F12" s="1128"/>
      <c r="G12" s="1128"/>
      <c r="H12" s="1128"/>
      <c r="I12" s="1129"/>
      <c r="J12" s="719"/>
      <c r="K12" s="719"/>
    </row>
    <row r="13" spans="2:11" ht="12.75" customHeight="1">
      <c r="B13" s="19"/>
      <c r="C13" s="20"/>
      <c r="D13" s="21"/>
      <c r="E13" s="15"/>
      <c r="F13" s="22"/>
      <c r="G13" s="23"/>
      <c r="H13" s="9"/>
      <c r="I13" s="13">
        <f>+C13*D13*F13*G13*H13</f>
        <v>0</v>
      </c>
      <c r="J13" s="721"/>
      <c r="K13" s="721"/>
    </row>
    <row r="14" spans="2:11" ht="12.75" customHeight="1" thickBot="1">
      <c r="B14" s="19"/>
      <c r="C14" s="24"/>
      <c r="D14" s="25"/>
      <c r="E14" s="15"/>
      <c r="F14" s="22"/>
      <c r="G14" s="23"/>
      <c r="H14" s="15"/>
      <c r="I14" s="13">
        <f>+C14*D14*F14*G14*H14</f>
        <v>0</v>
      </c>
      <c r="J14" s="721"/>
      <c r="K14" s="721"/>
    </row>
    <row r="15" spans="2:11" ht="14.25" customHeight="1">
      <c r="B15" s="26" t="s">
        <v>86</v>
      </c>
      <c r="C15" s="27"/>
      <c r="D15" s="27"/>
      <c r="E15" s="28"/>
      <c r="F15" s="29"/>
      <c r="G15" s="28"/>
      <c r="H15" s="30"/>
      <c r="I15" s="31">
        <f>SUM(I13:I14)</f>
        <v>0</v>
      </c>
      <c r="J15" s="723"/>
      <c r="K15" s="723"/>
    </row>
    <row r="16" spans="2:11" ht="13.5" customHeight="1" thickBot="1">
      <c r="B16" s="1139" t="s">
        <v>87</v>
      </c>
      <c r="C16" s="1140"/>
      <c r="D16" s="1140"/>
      <c r="E16" s="1141"/>
      <c r="F16" s="1141"/>
      <c r="G16" s="1141"/>
      <c r="H16" s="1142"/>
      <c r="I16" s="32"/>
      <c r="J16" s="724"/>
      <c r="K16" s="724"/>
    </row>
    <row r="17" spans="2:13">
      <c r="B17" s="33"/>
      <c r="C17" s="33"/>
      <c r="D17" s="33"/>
      <c r="E17" s="34"/>
      <c r="F17" s="34"/>
      <c r="G17" s="34"/>
      <c r="H17" s="34"/>
      <c r="I17" s="35"/>
      <c r="J17" s="35"/>
      <c r="K17" s="35"/>
    </row>
    <row r="18" spans="2:13" ht="18.75" customHeight="1">
      <c r="B18" s="1147" t="s">
        <v>88</v>
      </c>
      <c r="C18" s="1147"/>
      <c r="D18" s="1147"/>
      <c r="E18" s="1147"/>
      <c r="F18" s="1147"/>
      <c r="G18" s="1147"/>
      <c r="H18" s="1147"/>
      <c r="I18" s="1147"/>
      <c r="J18" s="719"/>
      <c r="K18" s="719"/>
    </row>
    <row r="19" spans="2:13" ht="40.5" customHeight="1">
      <c r="B19" s="1130" t="s">
        <v>75</v>
      </c>
      <c r="C19" s="1130"/>
      <c r="D19" s="1130"/>
      <c r="E19" s="1130" t="s">
        <v>78</v>
      </c>
      <c r="F19" s="1130"/>
      <c r="G19" s="36" t="s">
        <v>79</v>
      </c>
      <c r="H19" s="36" t="s">
        <v>80</v>
      </c>
      <c r="I19" s="36" t="s">
        <v>82</v>
      </c>
      <c r="J19" s="720"/>
      <c r="K19" s="720"/>
    </row>
    <row r="20" spans="2:13" ht="18.75" customHeight="1">
      <c r="B20" s="1131" t="s">
        <v>89</v>
      </c>
      <c r="C20" s="1131"/>
      <c r="D20" s="1131"/>
      <c r="E20" s="1126"/>
      <c r="F20" s="1126"/>
      <c r="G20" s="37"/>
      <c r="H20" s="38"/>
      <c r="I20" s="870"/>
      <c r="J20" s="725"/>
      <c r="K20" s="725"/>
    </row>
    <row r="21" spans="2:13" ht="24" customHeight="1">
      <c r="B21" s="1148" t="s">
        <v>1229</v>
      </c>
      <c r="C21" s="1148"/>
      <c r="D21" s="1148"/>
      <c r="E21" s="1126" t="s">
        <v>91</v>
      </c>
      <c r="F21" s="1126"/>
      <c r="G21" s="37">
        <f>+'ppto sistema septico'!V13+'ppto sistema septico'!V51+'ppto sistema septico'!V59</f>
        <v>247.60000000000002</v>
      </c>
      <c r="H21" s="712">
        <f>+'ppto sistema septico'!W13</f>
        <v>39347.699999999997</v>
      </c>
      <c r="I21" s="713">
        <f>+G21*H21</f>
        <v>9742490.5199999996</v>
      </c>
      <c r="J21" s="726"/>
      <c r="K21" s="726"/>
    </row>
    <row r="22" spans="2:13" ht="18.75" customHeight="1">
      <c r="B22" s="1125" t="s">
        <v>92</v>
      </c>
      <c r="C22" s="1125"/>
      <c r="D22" s="1125"/>
      <c r="E22" s="1126" t="s">
        <v>91</v>
      </c>
      <c r="F22" s="1126"/>
      <c r="G22" s="1045">
        <f>+'ppto sistema septico'!V14</f>
        <v>2.4</v>
      </c>
      <c r="H22" s="712">
        <f>+'ppto sistema septico'!W14</f>
        <v>185683.55000000002</v>
      </c>
      <c r="I22" s="713">
        <f t="shared" ref="I22:I89" si="0">+G22*H22</f>
        <v>445640.52</v>
      </c>
      <c r="J22" s="726"/>
      <c r="K22" s="726"/>
    </row>
    <row r="23" spans="2:13" ht="27" customHeight="1">
      <c r="B23" s="1125" t="s">
        <v>93</v>
      </c>
      <c r="C23" s="1125"/>
      <c r="D23" s="1125"/>
      <c r="E23" s="1126" t="s">
        <v>91</v>
      </c>
      <c r="F23" s="1126"/>
      <c r="G23" s="1045">
        <f>+'ppto sistema septico'!V15</f>
        <v>185.3</v>
      </c>
      <c r="H23" s="712">
        <f>+'ppto sistema septico'!W15</f>
        <v>26231.800000000003</v>
      </c>
      <c r="I23" s="713">
        <f t="shared" si="0"/>
        <v>4860752.540000001</v>
      </c>
      <c r="J23" s="726"/>
      <c r="K23" s="726"/>
    </row>
    <row r="24" spans="2:13" ht="18" customHeight="1">
      <c r="B24" s="1125" t="s">
        <v>94</v>
      </c>
      <c r="C24" s="1125"/>
      <c r="D24" s="1125"/>
      <c r="E24" s="1126" t="s">
        <v>91</v>
      </c>
      <c r="F24" s="1126"/>
      <c r="G24" s="1046">
        <f>+'ppto sistema septico'!V16+'ppto sistema septico'!V52</f>
        <v>109</v>
      </c>
      <c r="H24" s="712">
        <f>+'ppto sistema septico'!W16</f>
        <v>3147.8160000000003</v>
      </c>
      <c r="I24" s="713">
        <f t="shared" si="0"/>
        <v>343111.94400000002</v>
      </c>
      <c r="J24" s="726"/>
      <c r="K24" s="726"/>
      <c r="M24" s="1" t="s">
        <v>95</v>
      </c>
    </row>
    <row r="25" spans="2:13" ht="18" customHeight="1">
      <c r="B25" s="1125" t="s">
        <v>96</v>
      </c>
      <c r="C25" s="1125"/>
      <c r="D25" s="1125"/>
      <c r="E25" s="1126" t="s">
        <v>97</v>
      </c>
      <c r="F25" s="1126"/>
      <c r="G25" s="1045">
        <f>+'ppto sistema septico'!V17</f>
        <v>413.5</v>
      </c>
      <c r="H25" s="712">
        <f>+'ppto sistema septico'!AG17</f>
        <v>4588.29</v>
      </c>
      <c r="I25" s="713">
        <f t="shared" si="0"/>
        <v>1897257.915</v>
      </c>
      <c r="J25" s="726"/>
      <c r="K25" s="726"/>
    </row>
    <row r="26" spans="2:13" ht="17.25" customHeight="1">
      <c r="B26" s="1125" t="s">
        <v>98</v>
      </c>
      <c r="C26" s="1125"/>
      <c r="D26" s="1125"/>
      <c r="E26" s="1126" t="s">
        <v>97</v>
      </c>
      <c r="F26" s="1126"/>
      <c r="G26" s="1045">
        <f>+'ppto sistema septico'!V18</f>
        <v>448</v>
      </c>
      <c r="H26" s="712">
        <f>+'ppto sistema septico'!AG18</f>
        <v>5735.3625000000002</v>
      </c>
      <c r="I26" s="713">
        <f t="shared" si="0"/>
        <v>2569442.4</v>
      </c>
      <c r="J26" s="726"/>
      <c r="K26" s="726"/>
    </row>
    <row r="27" spans="2:13" ht="17.25" customHeight="1">
      <c r="B27" s="1125" t="s">
        <v>835</v>
      </c>
      <c r="C27" s="1125"/>
      <c r="D27" s="1125"/>
      <c r="E27" s="1126" t="s">
        <v>97</v>
      </c>
      <c r="F27" s="1126"/>
      <c r="G27" s="1045">
        <f>+'ppto sistema septico'!V19</f>
        <v>1</v>
      </c>
      <c r="H27" s="712">
        <f>+'ppto sistema septico'!AG19</f>
        <v>5735.3625000000002</v>
      </c>
      <c r="I27" s="713">
        <f t="shared" si="0"/>
        <v>5735.3625000000002</v>
      </c>
      <c r="J27" s="726"/>
      <c r="K27" s="726"/>
    </row>
    <row r="28" spans="2:13" ht="17.25" customHeight="1">
      <c r="B28" s="1122" t="s">
        <v>99</v>
      </c>
      <c r="C28" s="1123"/>
      <c r="D28" s="1124"/>
      <c r="E28" s="1120" t="s">
        <v>97</v>
      </c>
      <c r="F28" s="1121"/>
      <c r="G28" s="1045">
        <f>+'ppto sistema septico'!V20</f>
        <v>246</v>
      </c>
      <c r="H28" s="712">
        <f>+'ppto sistema septico'!AG20</f>
        <v>4588.29</v>
      </c>
      <c r="I28" s="713">
        <f t="shared" si="0"/>
        <v>1128719.3400000001</v>
      </c>
      <c r="J28" s="726"/>
      <c r="K28" s="726"/>
    </row>
    <row r="29" spans="2:13" ht="14.25" customHeight="1">
      <c r="B29" s="1125" t="s">
        <v>857</v>
      </c>
      <c r="C29" s="1125"/>
      <c r="D29" s="1125"/>
      <c r="E29" s="1126" t="s">
        <v>100</v>
      </c>
      <c r="F29" s="1126"/>
      <c r="G29" s="1045">
        <f>+'ppto sistema septico'!V21</f>
        <v>29</v>
      </c>
      <c r="H29" s="712">
        <f>+'ppto sistema septico'!AG21</f>
        <v>7535.9549999999999</v>
      </c>
      <c r="I29" s="713">
        <f t="shared" si="0"/>
        <v>218542.69500000001</v>
      </c>
      <c r="J29" s="726"/>
      <c r="K29" s="726"/>
    </row>
    <row r="30" spans="2:13" ht="14.25" customHeight="1">
      <c r="B30" s="1125" t="s">
        <v>861</v>
      </c>
      <c r="C30" s="1125"/>
      <c r="D30" s="1125"/>
      <c r="E30" s="1126" t="s">
        <v>100</v>
      </c>
      <c r="F30" s="1126"/>
      <c r="G30" s="1045">
        <f>+'ppto sistema septico'!V22</f>
        <v>30</v>
      </c>
      <c r="H30" s="712">
        <f>+'ppto sistema septico'!AG22</f>
        <v>7535.9549999999999</v>
      </c>
      <c r="I30" s="713">
        <f t="shared" ref="I30" si="1">+G30*H30</f>
        <v>226078.65</v>
      </c>
      <c r="J30" s="726"/>
      <c r="K30" s="726"/>
    </row>
    <row r="31" spans="2:13" ht="40.5" customHeight="1">
      <c r="B31" s="1125" t="s">
        <v>101</v>
      </c>
      <c r="C31" s="1125"/>
      <c r="D31" s="1125"/>
      <c r="E31" s="1126" t="s">
        <v>100</v>
      </c>
      <c r="F31" s="1126"/>
      <c r="G31" s="1045">
        <f>+'ppto sistema septico'!V23</f>
        <v>1</v>
      </c>
      <c r="H31" s="712">
        <f>+'ppto sistema septico'!AG23</f>
        <v>10047.94</v>
      </c>
      <c r="I31" s="713">
        <f t="shared" si="0"/>
        <v>10047.94</v>
      </c>
      <c r="J31" s="726"/>
      <c r="K31" s="726"/>
    </row>
    <row r="32" spans="2:13" ht="66" customHeight="1">
      <c r="B32" s="1125" t="s">
        <v>102</v>
      </c>
      <c r="C32" s="1125"/>
      <c r="D32" s="1125"/>
      <c r="E32" s="1126" t="s">
        <v>100</v>
      </c>
      <c r="F32" s="1126"/>
      <c r="G32" s="1045">
        <f>+'ppto sistema septico'!V24</f>
        <v>29</v>
      </c>
      <c r="H32" s="712">
        <f>+'ppto sistema septico'!AG24</f>
        <v>513516.50000000006</v>
      </c>
      <c r="I32" s="713">
        <f t="shared" si="0"/>
        <v>14891978.500000002</v>
      </c>
      <c r="J32" s="726"/>
      <c r="K32" s="726"/>
      <c r="L32" s="703" t="s">
        <v>103</v>
      </c>
    </row>
    <row r="33" spans="2:11" ht="27" customHeight="1">
      <c r="B33" s="1132" t="s">
        <v>104</v>
      </c>
      <c r="C33" s="1132"/>
      <c r="D33" s="1132"/>
      <c r="E33" s="1120" t="s">
        <v>100</v>
      </c>
      <c r="F33" s="1121"/>
      <c r="G33" s="1045">
        <f>+'ppto sistema septico'!V25</f>
        <v>29</v>
      </c>
      <c r="H33" s="712">
        <f>+'ppto sistema septico'!AG25</f>
        <v>75359.55</v>
      </c>
      <c r="I33" s="713">
        <f t="shared" si="0"/>
        <v>2185426.9500000002</v>
      </c>
      <c r="J33" s="726"/>
      <c r="K33" s="726"/>
    </row>
    <row r="34" spans="2:11" ht="64.5" customHeight="1">
      <c r="B34" s="1125" t="s">
        <v>105</v>
      </c>
      <c r="C34" s="1125"/>
      <c r="D34" s="1125"/>
      <c r="E34" s="1126" t="s">
        <v>100</v>
      </c>
      <c r="F34" s="1126"/>
      <c r="G34" s="1045">
        <f>+'ppto sistema septico'!V26</f>
        <v>0</v>
      </c>
      <c r="H34" s="712">
        <f>+'ppto sistema septico'!AG26</f>
        <v>513516.50000000006</v>
      </c>
      <c r="I34" s="713">
        <f t="shared" si="0"/>
        <v>0</v>
      </c>
      <c r="J34" s="726"/>
      <c r="K34" s="726"/>
    </row>
    <row r="35" spans="2:11" ht="50.1" customHeight="1">
      <c r="B35" s="1125" t="s">
        <v>106</v>
      </c>
      <c r="C35" s="1125"/>
      <c r="D35" s="1125"/>
      <c r="E35" s="1120" t="s">
        <v>100</v>
      </c>
      <c r="F35" s="1121"/>
      <c r="G35" s="1045">
        <f>+'ppto sistema septico'!V27</f>
        <v>0</v>
      </c>
      <c r="H35" s="712">
        <f>+'ppto sistema septico'!AG27</f>
        <v>78695.399999999994</v>
      </c>
      <c r="I35" s="713">
        <f t="shared" si="0"/>
        <v>0</v>
      </c>
      <c r="J35" s="726"/>
      <c r="K35" s="726"/>
    </row>
    <row r="36" spans="2:11" ht="69.75" customHeight="1">
      <c r="B36" s="1125" t="s">
        <v>107</v>
      </c>
      <c r="C36" s="1125"/>
      <c r="D36" s="1125"/>
      <c r="E36" s="1126" t="s">
        <v>100</v>
      </c>
      <c r="F36" s="1126"/>
      <c r="G36" s="1045">
        <f>+'ppto sistema septico'!V28</f>
        <v>0</v>
      </c>
      <c r="H36" s="712">
        <f>+'ppto sistema septico'!AG28</f>
        <v>513516.50000000006</v>
      </c>
      <c r="I36" s="713">
        <f t="shared" si="0"/>
        <v>0</v>
      </c>
      <c r="J36" s="726"/>
      <c r="K36" s="726"/>
    </row>
    <row r="37" spans="2:11" ht="50.1" customHeight="1">
      <c r="B37" s="1125" t="s">
        <v>108</v>
      </c>
      <c r="C37" s="1125"/>
      <c r="D37" s="1125"/>
      <c r="E37" s="1120" t="s">
        <v>100</v>
      </c>
      <c r="F37" s="1121"/>
      <c r="G37" s="1045">
        <f>+'ppto sistema septico'!V29</f>
        <v>0</v>
      </c>
      <c r="H37" s="712">
        <f>+'ppto sistema septico'!AG29</f>
        <v>78695.399999999994</v>
      </c>
      <c r="I37" s="713">
        <f t="shared" si="0"/>
        <v>0</v>
      </c>
      <c r="J37" s="726"/>
      <c r="K37" s="726"/>
    </row>
    <row r="38" spans="2:11" ht="76.5" customHeight="1">
      <c r="B38" s="1125" t="s">
        <v>109</v>
      </c>
      <c r="C38" s="1125"/>
      <c r="D38" s="1125"/>
      <c r="E38" s="1126" t="s">
        <v>100</v>
      </c>
      <c r="F38" s="1126"/>
      <c r="G38" s="1045">
        <f>+'ppto sistema septico'!V30</f>
        <v>0</v>
      </c>
      <c r="H38" s="712">
        <f>+'ppto sistema septico'!AG30</f>
        <v>616219.80000000005</v>
      </c>
      <c r="I38" s="713">
        <f t="shared" si="0"/>
        <v>0</v>
      </c>
      <c r="J38" s="726"/>
      <c r="K38" s="726"/>
    </row>
    <row r="39" spans="2:11" ht="52.5" customHeight="1">
      <c r="B39" s="1125" t="s">
        <v>110</v>
      </c>
      <c r="C39" s="1125"/>
      <c r="D39" s="1125"/>
      <c r="E39" s="1120" t="s">
        <v>100</v>
      </c>
      <c r="F39" s="1121"/>
      <c r="G39" s="1045">
        <f>+'ppto sistema septico'!V31</f>
        <v>0</v>
      </c>
      <c r="H39" s="712">
        <f>+'ppto sistema septico'!AG32</f>
        <v>770274.75</v>
      </c>
      <c r="I39" s="713">
        <f t="shared" si="0"/>
        <v>0</v>
      </c>
      <c r="J39" s="726"/>
      <c r="K39" s="726"/>
    </row>
    <row r="40" spans="2:11" ht="65.25" customHeight="1">
      <c r="B40" s="1125" t="s">
        <v>111</v>
      </c>
      <c r="C40" s="1125"/>
      <c r="D40" s="1125"/>
      <c r="E40" s="1126" t="s">
        <v>100</v>
      </c>
      <c r="F40" s="1126"/>
      <c r="G40" s="1045">
        <f>+'ppto sistema septico'!V32</f>
        <v>0</v>
      </c>
      <c r="H40" s="712">
        <f>+'ppto sistema septico'!AG32</f>
        <v>770274.75</v>
      </c>
      <c r="I40" s="713">
        <f t="shared" si="0"/>
        <v>0</v>
      </c>
      <c r="J40" s="726"/>
      <c r="K40" s="726"/>
    </row>
    <row r="41" spans="2:11" ht="65.25" customHeight="1">
      <c r="B41" s="1125" t="s">
        <v>112</v>
      </c>
      <c r="C41" s="1125"/>
      <c r="D41" s="1125"/>
      <c r="E41" s="1120" t="s">
        <v>100</v>
      </c>
      <c r="F41" s="1121"/>
      <c r="G41" s="1045">
        <f>+'ppto sistema septico'!V33</f>
        <v>0</v>
      </c>
      <c r="H41" s="712">
        <f>+'ppto sistema septico'!AG33</f>
        <v>75359.55</v>
      </c>
      <c r="I41" s="713">
        <f t="shared" si="0"/>
        <v>0</v>
      </c>
      <c r="J41" s="726"/>
      <c r="K41" s="726"/>
    </row>
    <row r="42" spans="2:11" ht="62.25" customHeight="1">
      <c r="B42" s="1125" t="s">
        <v>113</v>
      </c>
      <c r="C42" s="1125"/>
      <c r="D42" s="1125"/>
      <c r="E42" s="1126" t="s">
        <v>100</v>
      </c>
      <c r="F42" s="1126"/>
      <c r="G42" s="1045">
        <f>+'ppto sistema septico'!V34</f>
        <v>1</v>
      </c>
      <c r="H42" s="712">
        <f>+'ppto sistema septico'!AG34</f>
        <v>770274.75</v>
      </c>
      <c r="I42" s="713">
        <f t="shared" si="0"/>
        <v>770274.75</v>
      </c>
      <c r="J42" s="726"/>
      <c r="K42" s="726"/>
    </row>
    <row r="43" spans="2:11" ht="62.25" customHeight="1">
      <c r="B43" s="1125" t="s">
        <v>114</v>
      </c>
      <c r="C43" s="1125"/>
      <c r="D43" s="1125"/>
      <c r="E43" s="1120" t="s">
        <v>100</v>
      </c>
      <c r="F43" s="1121"/>
      <c r="G43" s="1045">
        <f>+'ppto sistema septico'!V35</f>
        <v>1</v>
      </c>
      <c r="H43" s="712">
        <f>+'ppto sistema septico'!AG35</f>
        <v>75359.55</v>
      </c>
      <c r="I43" s="713">
        <f t="shared" si="0"/>
        <v>75359.55</v>
      </c>
      <c r="J43" s="726"/>
      <c r="K43" s="726"/>
    </row>
    <row r="44" spans="2:11" ht="80.25" customHeight="1">
      <c r="B44" s="1125" t="s">
        <v>115</v>
      </c>
      <c r="C44" s="1125"/>
      <c r="D44" s="1125"/>
      <c r="E44" s="1126" t="s">
        <v>100</v>
      </c>
      <c r="F44" s="1126"/>
      <c r="G44" s="1045">
        <f>+'ppto sistema septico'!V36</f>
        <v>0</v>
      </c>
      <c r="H44" s="712">
        <f>+'ppto sistema septico'!AG36</f>
        <v>1027033.0000000001</v>
      </c>
      <c r="I44" s="713">
        <f t="shared" si="0"/>
        <v>0</v>
      </c>
      <c r="J44" s="726"/>
      <c r="K44" s="726"/>
    </row>
    <row r="45" spans="2:11" ht="57" customHeight="1">
      <c r="B45" s="1125" t="s">
        <v>116</v>
      </c>
      <c r="C45" s="1125"/>
      <c r="D45" s="1125"/>
      <c r="E45" s="1120" t="s">
        <v>100</v>
      </c>
      <c r="F45" s="1121"/>
      <c r="G45" s="1045">
        <f>+'ppto sistema septico'!V37</f>
        <v>0</v>
      </c>
      <c r="H45" s="712">
        <f>+'ppto sistema septico'!AG37</f>
        <v>75359.55</v>
      </c>
      <c r="I45" s="713">
        <f t="shared" si="0"/>
        <v>0</v>
      </c>
      <c r="J45" s="726"/>
      <c r="K45" s="726"/>
    </row>
    <row r="46" spans="2:11" ht="64.5" customHeight="1">
      <c r="B46" s="1122" t="s">
        <v>117</v>
      </c>
      <c r="C46" s="1123"/>
      <c r="D46" s="1124"/>
      <c r="E46" s="1120" t="s">
        <v>100</v>
      </c>
      <c r="F46" s="1121"/>
      <c r="G46" s="1045">
        <f>+'ppto sistema septico'!V38</f>
        <v>0</v>
      </c>
      <c r="H46" s="712">
        <f>+'ppto sistema septico'!AG38</f>
        <v>1027033.0000000001</v>
      </c>
      <c r="I46" s="713">
        <f t="shared" si="0"/>
        <v>0</v>
      </c>
      <c r="J46" s="726"/>
      <c r="K46" s="726"/>
    </row>
    <row r="47" spans="2:11" ht="55.15" customHeight="1">
      <c r="B47" s="1122" t="s">
        <v>118</v>
      </c>
      <c r="C47" s="1123"/>
      <c r="D47" s="1124"/>
      <c r="E47" s="1120" t="s">
        <v>100</v>
      </c>
      <c r="F47" s="1121"/>
      <c r="G47" s="1045">
        <f>+'ppto sistema septico'!V39</f>
        <v>0</v>
      </c>
      <c r="H47" s="712">
        <f>+'ppto sistema septico'!AG39</f>
        <v>75359.55</v>
      </c>
      <c r="I47" s="713">
        <f t="shared" si="0"/>
        <v>0</v>
      </c>
      <c r="J47" s="726"/>
      <c r="K47" s="726"/>
    </row>
    <row r="48" spans="2:11" ht="43.5" customHeight="1">
      <c r="B48" s="1125" t="s">
        <v>119</v>
      </c>
      <c r="C48" s="1125"/>
      <c r="D48" s="1125"/>
      <c r="E48" s="1126" t="s">
        <v>100</v>
      </c>
      <c r="F48" s="1126"/>
      <c r="G48" s="1045">
        <f>+'ppto sistema septico'!V40</f>
        <v>1</v>
      </c>
      <c r="H48" s="712">
        <f>+'ppto sistema septico'!AG40</f>
        <v>229414.5</v>
      </c>
      <c r="I48" s="713">
        <f t="shared" si="0"/>
        <v>229414.5</v>
      </c>
      <c r="J48" s="726"/>
      <c r="K48" s="726"/>
    </row>
    <row r="49" spans="2:14" ht="32.25" customHeight="1">
      <c r="B49" s="1125" t="s">
        <v>120</v>
      </c>
      <c r="C49" s="1125"/>
      <c r="D49" s="1125"/>
      <c r="E49" s="1126" t="s">
        <v>100</v>
      </c>
      <c r="F49" s="1126"/>
      <c r="G49" s="1045">
        <f>+'ppto sistema septico'!V41</f>
        <v>1</v>
      </c>
      <c r="H49" s="712">
        <f>+'ppto sistema septico'!AG41</f>
        <v>616219.80000000005</v>
      </c>
      <c r="I49" s="713">
        <f t="shared" si="0"/>
        <v>616219.80000000005</v>
      </c>
      <c r="J49" s="726"/>
      <c r="K49" s="726"/>
    </row>
    <row r="50" spans="2:14" ht="31.5" customHeight="1">
      <c r="B50" s="1125" t="s">
        <v>121</v>
      </c>
      <c r="C50" s="1125"/>
      <c r="D50" s="1125"/>
      <c r="E50" s="1126" t="s">
        <v>100</v>
      </c>
      <c r="F50" s="1126"/>
      <c r="G50" s="1045">
        <f>+'ppto sistema septico'!V42</f>
        <v>29</v>
      </c>
      <c r="H50" s="712">
        <f>+'ppto sistema septico'!AG42</f>
        <v>37679.775000000001</v>
      </c>
      <c r="I50" s="713">
        <f t="shared" si="0"/>
        <v>1092713.4750000001</v>
      </c>
      <c r="J50" s="726"/>
      <c r="K50" s="726"/>
    </row>
    <row r="51" spans="2:14" ht="30" customHeight="1">
      <c r="B51" s="1125" t="s">
        <v>122</v>
      </c>
      <c r="C51" s="1125"/>
      <c r="D51" s="1125"/>
      <c r="E51" s="1126" t="s">
        <v>100</v>
      </c>
      <c r="F51" s="1126"/>
      <c r="G51" s="1045">
        <f>+'ppto sistema septico'!V43</f>
        <v>1</v>
      </c>
      <c r="H51" s="712">
        <f>+'ppto sistema septico'!AG43</f>
        <v>37679.775000000001</v>
      </c>
      <c r="I51" s="713">
        <f t="shared" si="0"/>
        <v>37679.775000000001</v>
      </c>
      <c r="J51" s="726"/>
      <c r="K51" s="726"/>
      <c r="M51" s="39"/>
    </row>
    <row r="52" spans="2:14" ht="25.5" customHeight="1">
      <c r="B52" s="1125" t="s">
        <v>123</v>
      </c>
      <c r="C52" s="1125"/>
      <c r="D52" s="1125"/>
      <c r="E52" s="1126" t="s">
        <v>100</v>
      </c>
      <c r="F52" s="1126"/>
      <c r="G52" s="1045">
        <f>+'ppto sistema septico'!V44</f>
        <v>30</v>
      </c>
      <c r="H52" s="712">
        <f>+'ppto sistema septico'!AG44</f>
        <v>12559.925000000001</v>
      </c>
      <c r="I52" s="713">
        <f t="shared" si="0"/>
        <v>376797.75000000006</v>
      </c>
      <c r="J52" s="726"/>
      <c r="K52" s="726"/>
    </row>
    <row r="53" spans="2:14" ht="25.5" customHeight="1">
      <c r="B53" s="1125" t="s">
        <v>124</v>
      </c>
      <c r="C53" s="1125"/>
      <c r="D53" s="1125"/>
      <c r="E53" s="1126" t="s">
        <v>97</v>
      </c>
      <c r="F53" s="1126"/>
      <c r="G53" s="1045">
        <f>+'ppto sistema septico'!V45</f>
        <v>0</v>
      </c>
      <c r="H53" s="712">
        <f>+'ppto sistema septico'!AG45</f>
        <v>3934.77</v>
      </c>
      <c r="I53" s="713">
        <f t="shared" si="0"/>
        <v>0</v>
      </c>
      <c r="J53" s="726"/>
      <c r="K53" s="726"/>
    </row>
    <row r="54" spans="2:14" ht="31.5" customHeight="1">
      <c r="B54" s="1125" t="s">
        <v>125</v>
      </c>
      <c r="C54" s="1125"/>
      <c r="D54" s="1125"/>
      <c r="E54" s="1126" t="s">
        <v>97</v>
      </c>
      <c r="F54" s="1126"/>
      <c r="G54" s="1045">
        <f>+'ppto sistema septico'!V46</f>
        <v>0</v>
      </c>
      <c r="H54" s="712">
        <f>+'ppto sistema septico'!AG46</f>
        <v>7869.54</v>
      </c>
      <c r="I54" s="713">
        <f t="shared" si="0"/>
        <v>0</v>
      </c>
      <c r="J54" s="726"/>
      <c r="K54" s="726"/>
    </row>
    <row r="55" spans="2:14" ht="17.25" customHeight="1">
      <c r="B55" s="1125" t="s">
        <v>126</v>
      </c>
      <c r="C55" s="1125"/>
      <c r="D55" s="1125"/>
      <c r="E55" s="1126" t="s">
        <v>100</v>
      </c>
      <c r="F55" s="1126"/>
      <c r="G55" s="1045">
        <f>+'ppto sistema septico'!V47</f>
        <v>0</v>
      </c>
      <c r="H55" s="712">
        <f>+'ppto sistema septico'!AG47</f>
        <v>5023.9649760299999</v>
      </c>
      <c r="I55" s="713">
        <f t="shared" si="0"/>
        <v>0</v>
      </c>
      <c r="J55" s="726"/>
      <c r="K55" s="726"/>
    </row>
    <row r="56" spans="2:14" ht="30" customHeight="1">
      <c r="B56" s="1125" t="s">
        <v>127</v>
      </c>
      <c r="C56" s="1125"/>
      <c r="D56" s="1125"/>
      <c r="E56" s="1126" t="s">
        <v>100</v>
      </c>
      <c r="F56" s="1126"/>
      <c r="G56" s="1045">
        <f>+'ppto sistema septico'!V48</f>
        <v>0</v>
      </c>
      <c r="H56" s="712">
        <f>+'ppto sistema septico'!AG48</f>
        <v>6028.7640000000001</v>
      </c>
      <c r="I56" s="713">
        <f t="shared" si="0"/>
        <v>0</v>
      </c>
      <c r="J56" s="726"/>
      <c r="K56" s="726"/>
    </row>
    <row r="57" spans="2:14" ht="35.25" customHeight="1">
      <c r="B57" s="1125" t="s">
        <v>128</v>
      </c>
      <c r="C57" s="1125"/>
      <c r="D57" s="1125"/>
      <c r="E57" s="1126" t="s">
        <v>100</v>
      </c>
      <c r="F57" s="1126"/>
      <c r="G57" s="1045">
        <f>+'ppto sistema septico'!V49</f>
        <v>0</v>
      </c>
      <c r="H57" s="712">
        <f>+'ppto sistema septico'!AG49</f>
        <v>6028.7640000000001</v>
      </c>
      <c r="I57" s="713">
        <f t="shared" si="0"/>
        <v>0</v>
      </c>
      <c r="J57" s="726"/>
      <c r="K57" s="726"/>
    </row>
    <row r="58" spans="2:14" ht="19.5" customHeight="1">
      <c r="B58" s="1125" t="s">
        <v>129</v>
      </c>
      <c r="C58" s="1125"/>
      <c r="D58" s="1125"/>
      <c r="E58" s="1126" t="s">
        <v>130</v>
      </c>
      <c r="F58" s="1126"/>
      <c r="G58" s="1045">
        <f>+'ppto sistema septico'!V53</f>
        <v>138.30000000000001</v>
      </c>
      <c r="H58" s="712">
        <f>+'ppto sistema septico'!AG53</f>
        <v>7647.15</v>
      </c>
      <c r="I58" s="713">
        <f t="shared" si="0"/>
        <v>1057600.845</v>
      </c>
      <c r="J58" s="726"/>
      <c r="K58" s="726"/>
    </row>
    <row r="59" spans="2:14" ht="28.5" customHeight="1">
      <c r="B59" s="1125" t="s">
        <v>131</v>
      </c>
      <c r="C59" s="1125"/>
      <c r="D59" s="1125"/>
      <c r="E59" s="1126" t="s">
        <v>100</v>
      </c>
      <c r="F59" s="1126"/>
      <c r="G59" s="1045">
        <f>+'ppto sistema septico'!V54</f>
        <v>891</v>
      </c>
      <c r="H59" s="712">
        <f>+'ppto sistema septico'!AG54</f>
        <v>2914.6444444444442</v>
      </c>
      <c r="I59" s="713">
        <f t="shared" si="0"/>
        <v>2596948.1999999997</v>
      </c>
      <c r="J59" s="726"/>
      <c r="K59" s="726"/>
    </row>
    <row r="60" spans="2:14" ht="15.75" customHeight="1">
      <c r="B60" s="1125" t="s">
        <v>132</v>
      </c>
      <c r="C60" s="1125"/>
      <c r="D60" s="1125"/>
      <c r="E60" s="1126" t="s">
        <v>97</v>
      </c>
      <c r="F60" s="1126"/>
      <c r="G60" s="1045">
        <f>+'ppto sistema septico'!V55</f>
        <v>91</v>
      </c>
      <c r="H60" s="712">
        <f>+'ppto sistema septico'!AG55</f>
        <v>8496.8333333333321</v>
      </c>
      <c r="I60" s="713">
        <f t="shared" si="0"/>
        <v>773211.83333333326</v>
      </c>
      <c r="J60" s="726"/>
      <c r="K60" s="726"/>
    </row>
    <row r="61" spans="2:14" ht="15.75" customHeight="1">
      <c r="B61" s="1125" t="s">
        <v>854</v>
      </c>
      <c r="C61" s="1125"/>
      <c r="D61" s="1125"/>
      <c r="E61" s="1126" t="s">
        <v>133</v>
      </c>
      <c r="F61" s="1126"/>
      <c r="G61" s="1045">
        <f>+'ppto sistema septico'!V56</f>
        <v>1</v>
      </c>
      <c r="H61" s="712">
        <f>+'ppto sistema septico'!AG56</f>
        <v>2914.6444444444442</v>
      </c>
      <c r="I61" s="713">
        <f t="shared" si="0"/>
        <v>2914.6444444444442</v>
      </c>
      <c r="J61" s="726"/>
      <c r="K61" s="726"/>
      <c r="N61" s="1" t="s">
        <v>134</v>
      </c>
    </row>
    <row r="62" spans="2:14" ht="15.75" customHeight="1">
      <c r="B62" s="1125" t="s">
        <v>856</v>
      </c>
      <c r="C62" s="1125"/>
      <c r="D62" s="1125"/>
      <c r="E62" s="1126" t="s">
        <v>100</v>
      </c>
      <c r="F62" s="1126"/>
      <c r="G62" s="1045">
        <f>+'ppto sistema septico'!V58</f>
        <v>1</v>
      </c>
      <c r="H62" s="712">
        <f>+'ppto sistema septico'!AG58</f>
        <v>254797.57500000001</v>
      </c>
      <c r="I62" s="713">
        <f t="shared" si="0"/>
        <v>254797.57500000001</v>
      </c>
      <c r="J62" s="726"/>
      <c r="K62" s="726"/>
    </row>
    <row r="63" spans="2:14" ht="17.25" customHeight="1">
      <c r="B63" s="710" t="s">
        <v>135</v>
      </c>
      <c r="C63" s="711"/>
      <c r="D63" s="711"/>
      <c r="E63" s="711"/>
      <c r="F63" s="711"/>
      <c r="G63" s="1047"/>
      <c r="H63" s="714"/>
      <c r="I63" s="713">
        <f t="shared" si="0"/>
        <v>0</v>
      </c>
      <c r="J63" s="726"/>
      <c r="K63" s="726"/>
    </row>
    <row r="64" spans="2:14">
      <c r="B64" s="1125" t="s">
        <v>136</v>
      </c>
      <c r="C64" s="1125"/>
      <c r="D64" s="1125"/>
      <c r="E64" s="1126" t="s">
        <v>97</v>
      </c>
      <c r="F64" s="1126"/>
      <c r="G64" s="1045">
        <f>+'ppto sistema septico'!V17</f>
        <v>413.5</v>
      </c>
      <c r="H64" s="715">
        <f>'ppto sistema septico'!AA17+'ppto sistema septico'!AC17+'ppto sistema septico'!AE17</f>
        <v>38216.013348622226</v>
      </c>
      <c r="I64" s="713">
        <f t="shared" si="0"/>
        <v>15802321.519655291</v>
      </c>
      <c r="J64" s="726"/>
      <c r="K64" s="726"/>
    </row>
    <row r="65" spans="2:11" ht="21.75" customHeight="1">
      <c r="B65" s="1125" t="s">
        <v>137</v>
      </c>
      <c r="C65" s="1125"/>
      <c r="D65" s="1125"/>
      <c r="E65" s="1120" t="s">
        <v>97</v>
      </c>
      <c r="F65" s="1121"/>
      <c r="G65" s="1045">
        <f>+'ppto sistema septico'!V18</f>
        <v>448</v>
      </c>
      <c r="H65" s="715">
        <f>'ppto sistema septico'!AA18+'ppto sistema septico'!AC18+'ppto sistema septico'!AE18</f>
        <v>31202.327573582221</v>
      </c>
      <c r="I65" s="713">
        <f t="shared" si="0"/>
        <v>13978642.752964836</v>
      </c>
      <c r="J65" s="726"/>
      <c r="K65" s="726"/>
    </row>
    <row r="66" spans="2:11" ht="21.75" customHeight="1">
      <c r="B66" s="1125" t="s">
        <v>836</v>
      </c>
      <c r="C66" s="1125"/>
      <c r="D66" s="1125"/>
      <c r="E66" s="1120" t="s">
        <v>97</v>
      </c>
      <c r="F66" s="1121"/>
      <c r="G66" s="1045">
        <f>+'ppto sistema septico'!V19</f>
        <v>1</v>
      </c>
      <c r="H66" s="715">
        <f>'ppto sistema septico'!AA19+'ppto sistema septico'!AC19+'ppto sistema septico'!AE19</f>
        <v>40840.102573582219</v>
      </c>
      <c r="I66" s="713">
        <f t="shared" si="0"/>
        <v>40840.102573582219</v>
      </c>
      <c r="J66" s="726"/>
      <c r="K66" s="726"/>
    </row>
    <row r="67" spans="2:11" ht="21.75" customHeight="1">
      <c r="B67" s="1122" t="s">
        <v>138</v>
      </c>
      <c r="C67" s="1123"/>
      <c r="D67" s="1124"/>
      <c r="E67" s="1120" t="s">
        <v>97</v>
      </c>
      <c r="F67" s="1121"/>
      <c r="G67" s="1045">
        <f>+'ppto sistema septico'!V20</f>
        <v>246</v>
      </c>
      <c r="H67" s="715">
        <f>'ppto sistema septico'!AA20+'ppto sistema septico'!AC20+'ppto sistema septico'!AE20</f>
        <v>23364.602573582222</v>
      </c>
      <c r="I67" s="713">
        <f t="shared" si="0"/>
        <v>5747692.2331012264</v>
      </c>
      <c r="J67" s="726"/>
      <c r="K67" s="726"/>
    </row>
    <row r="68" spans="2:11" ht="22.5" customHeight="1">
      <c r="B68" s="1125" t="s">
        <v>858</v>
      </c>
      <c r="C68" s="1125"/>
      <c r="D68" s="1125"/>
      <c r="E68" s="1126" t="s">
        <v>100</v>
      </c>
      <c r="F68" s="1126"/>
      <c r="G68" s="1045">
        <f>+'ppto sistema septico'!V21</f>
        <v>29</v>
      </c>
      <c r="H68" s="715">
        <f>'ppto sistema septico'!AA21+'ppto sistema septico'!AC21+'ppto sistema septico'!AE21</f>
        <v>43918.583277777776</v>
      </c>
      <c r="I68" s="713">
        <f t="shared" si="0"/>
        <v>1273638.9150555555</v>
      </c>
      <c r="J68" s="726"/>
      <c r="K68" s="726"/>
    </row>
    <row r="69" spans="2:11" ht="22.5" customHeight="1">
      <c r="B69" s="1125" t="s">
        <v>862</v>
      </c>
      <c r="C69" s="1125"/>
      <c r="D69" s="1125"/>
      <c r="E69" s="1126" t="s">
        <v>100</v>
      </c>
      <c r="F69" s="1126"/>
      <c r="G69" s="1045">
        <f>+'ppto sistema septico'!V22</f>
        <v>30</v>
      </c>
      <c r="H69" s="715">
        <f>'ppto sistema septico'!AA22+'ppto sistema septico'!AC22+'ppto sistema septico'!AE22</f>
        <v>43918.583277777776</v>
      </c>
      <c r="I69" s="713">
        <f t="shared" ref="I69" si="2">+G69*H69</f>
        <v>1317557.4983333333</v>
      </c>
      <c r="J69" s="726"/>
      <c r="K69" s="726"/>
    </row>
    <row r="70" spans="2:11" ht="22.5" customHeight="1">
      <c r="B70" s="1125" t="s">
        <v>139</v>
      </c>
      <c r="C70" s="1125"/>
      <c r="D70" s="1125"/>
      <c r="E70" s="1126" t="s">
        <v>100</v>
      </c>
      <c r="F70" s="1126"/>
      <c r="G70" s="1045">
        <f>+'ppto sistema septico'!V23</f>
        <v>1</v>
      </c>
      <c r="H70" s="715">
        <f>'ppto sistema septico'!AA23+'ppto sistema septico'!AC23+'ppto sistema septico'!AE23</f>
        <v>80988.61103703703</v>
      </c>
      <c r="I70" s="713">
        <f t="shared" si="0"/>
        <v>80988.61103703703</v>
      </c>
      <c r="J70" s="726"/>
      <c r="K70" s="726"/>
    </row>
    <row r="71" spans="2:11" ht="64.5" customHeight="1">
      <c r="B71" s="1125" t="s">
        <v>140</v>
      </c>
      <c r="C71" s="1125"/>
      <c r="D71" s="1125"/>
      <c r="E71" s="1126" t="s">
        <v>100</v>
      </c>
      <c r="F71" s="1126"/>
      <c r="G71" s="1045">
        <f>+'ppto sistema septico'!V24</f>
        <v>29</v>
      </c>
      <c r="H71" s="715">
        <f>'ppto sistema septico'!AA24+'ppto sistema septico'!AC24+'ppto sistema septico'!AE24</f>
        <v>3955000.5112730302</v>
      </c>
      <c r="I71" s="713">
        <f t="shared" si="0"/>
        <v>114695014.82691787</v>
      </c>
      <c r="J71" s="726"/>
      <c r="K71" s="726"/>
    </row>
    <row r="72" spans="2:11" ht="64.5" customHeight="1">
      <c r="B72" s="1125" t="s">
        <v>141</v>
      </c>
      <c r="C72" s="1125"/>
      <c r="D72" s="1125"/>
      <c r="E72" s="1120" t="s">
        <v>100</v>
      </c>
      <c r="F72" s="1121"/>
      <c r="G72" s="1045">
        <f>+'ppto sistema septico'!V25</f>
        <v>29</v>
      </c>
      <c r="H72" s="715">
        <f>'ppto sistema septico'!AA25+'ppto sistema septico'!AC25+'ppto sistema septico'!AE25</f>
        <v>995482.51498636371</v>
      </c>
      <c r="I72" s="713">
        <f t="shared" si="0"/>
        <v>28868992.934604548</v>
      </c>
      <c r="J72" s="726"/>
      <c r="K72" s="726"/>
    </row>
    <row r="73" spans="2:11" ht="63.75" customHeight="1">
      <c r="B73" s="1125" t="s">
        <v>142</v>
      </c>
      <c r="C73" s="1125"/>
      <c r="D73" s="1125"/>
      <c r="E73" s="1126" t="s">
        <v>100</v>
      </c>
      <c r="F73" s="1126"/>
      <c r="G73" s="1045">
        <f>+'ppto sistema septico'!V26</f>
        <v>0</v>
      </c>
      <c r="H73" s="715">
        <f>'ppto sistema septico'!AA26+'ppto sistema septico'!AC26+'ppto sistema septico'!AE26</f>
        <v>4954929.230770627</v>
      </c>
      <c r="I73" s="713">
        <f t="shared" si="0"/>
        <v>0</v>
      </c>
      <c r="J73" s="726"/>
      <c r="K73" s="726"/>
    </row>
    <row r="74" spans="2:11" ht="63.75" customHeight="1">
      <c r="B74" s="1125" t="s">
        <v>143</v>
      </c>
      <c r="C74" s="1125"/>
      <c r="D74" s="1125"/>
      <c r="E74" s="1120" t="s">
        <v>100</v>
      </c>
      <c r="F74" s="1121"/>
      <c r="G74" s="1045">
        <f>+'ppto sistema septico'!V27</f>
        <v>0</v>
      </c>
      <c r="H74" s="715">
        <f>'ppto sistema septico'!AA27+'ppto sistema septico'!AC27+'ppto sistema septico'!AE27</f>
        <v>1147651.5995248468</v>
      </c>
      <c r="I74" s="713">
        <f t="shared" si="0"/>
        <v>0</v>
      </c>
      <c r="J74" s="726"/>
      <c r="K74" s="726"/>
    </row>
    <row r="75" spans="2:11" ht="75" customHeight="1">
      <c r="B75" s="1125" t="s">
        <v>144</v>
      </c>
      <c r="C75" s="1125"/>
      <c r="D75" s="1125"/>
      <c r="E75" s="1126" t="s">
        <v>100</v>
      </c>
      <c r="F75" s="1126"/>
      <c r="G75" s="1045">
        <f>+'ppto sistema septico'!V28</f>
        <v>0</v>
      </c>
      <c r="H75" s="715">
        <f>'ppto sistema septico'!AA28+'ppto sistema septico'!AC28+'ppto sistema septico'!AE28</f>
        <v>6480461.1024664547</v>
      </c>
      <c r="I75" s="713">
        <f t="shared" si="0"/>
        <v>0</v>
      </c>
      <c r="J75" s="726"/>
      <c r="K75" s="726"/>
    </row>
    <row r="76" spans="2:11" ht="75" customHeight="1">
      <c r="B76" s="1125" t="s">
        <v>145</v>
      </c>
      <c r="C76" s="1125"/>
      <c r="D76" s="1125"/>
      <c r="E76" s="1120" t="s">
        <v>100</v>
      </c>
      <c r="F76" s="1121"/>
      <c r="G76" s="1045">
        <f>+'ppto sistema septico'!V29</f>
        <v>0</v>
      </c>
      <c r="H76" s="715">
        <f>'ppto sistema septico'!AA29+'ppto sistema septico'!AC29+'ppto sistema septico'!AE29</f>
        <v>1335411.9110974423</v>
      </c>
      <c r="I76" s="713">
        <f t="shared" si="0"/>
        <v>0</v>
      </c>
      <c r="J76" s="726"/>
      <c r="K76" s="726"/>
    </row>
    <row r="77" spans="2:11" ht="76.5" customHeight="1">
      <c r="B77" s="1125" t="s">
        <v>146</v>
      </c>
      <c r="C77" s="1125"/>
      <c r="D77" s="1125"/>
      <c r="E77" s="1126" t="s">
        <v>100</v>
      </c>
      <c r="F77" s="1126"/>
      <c r="G77" s="1045">
        <f>+'ppto sistema septico'!V30</f>
        <v>0</v>
      </c>
      <c r="H77" s="715">
        <f>'ppto sistema septico'!AA30+'ppto sistema septico'!AC30+'ppto sistema septico'!AE30</f>
        <v>10017508.107526038</v>
      </c>
      <c r="I77" s="713">
        <f t="shared" si="0"/>
        <v>0</v>
      </c>
      <c r="J77" s="726"/>
      <c r="K77" s="726"/>
    </row>
    <row r="78" spans="2:11" ht="76.5" customHeight="1">
      <c r="B78" s="1125" t="s">
        <v>147</v>
      </c>
      <c r="C78" s="1125"/>
      <c r="D78" s="1125"/>
      <c r="E78" s="1120" t="s">
        <v>100</v>
      </c>
      <c r="F78" s="1121"/>
      <c r="G78" s="1045">
        <f>+'ppto sistema septico'!V31</f>
        <v>0</v>
      </c>
      <c r="H78" s="715">
        <f>'ppto sistema septico'!AA31+'ppto sistema septico'!AC31+'ppto sistema septico'!AE31</f>
        <v>1713848.827843389</v>
      </c>
      <c r="I78" s="713">
        <f t="shared" si="0"/>
        <v>0</v>
      </c>
      <c r="J78" s="726"/>
      <c r="K78" s="726"/>
    </row>
    <row r="79" spans="2:11" ht="69.75" customHeight="1">
      <c r="B79" s="1125" t="s">
        <v>148</v>
      </c>
      <c r="C79" s="1125"/>
      <c r="D79" s="1125"/>
      <c r="E79" s="1126" t="s">
        <v>100</v>
      </c>
      <c r="F79" s="1126"/>
      <c r="G79" s="1045">
        <f>+'ppto sistema septico'!V32</f>
        <v>0</v>
      </c>
      <c r="H79" s="715">
        <f>'ppto sistema septico'!AA32+'ppto sistema septico'!AC32+'ppto sistema septico'!AE32</f>
        <v>14153439.20853618</v>
      </c>
      <c r="I79" s="713">
        <f t="shared" si="0"/>
        <v>0</v>
      </c>
      <c r="J79" s="726"/>
      <c r="K79" s="726"/>
    </row>
    <row r="80" spans="2:11" ht="60" customHeight="1">
      <c r="B80" s="1125" t="s">
        <v>149</v>
      </c>
      <c r="C80" s="1125"/>
      <c r="D80" s="1125"/>
      <c r="E80" s="1120" t="s">
        <v>100</v>
      </c>
      <c r="F80" s="1121"/>
      <c r="G80" s="1045">
        <f>+'ppto sistema septico'!V33</f>
        <v>0</v>
      </c>
      <c r="H80" s="715">
        <f>'ppto sistema septico'!AA33+'ppto sistema septico'!AC33+'ppto sistema septico'!AE33</f>
        <v>2066294.0961313378</v>
      </c>
      <c r="I80" s="713">
        <f t="shared" si="0"/>
        <v>0</v>
      </c>
      <c r="J80" s="726"/>
      <c r="K80" s="726"/>
    </row>
    <row r="81" spans="2:11" ht="78.75" customHeight="1">
      <c r="B81" s="1125" t="s">
        <v>150</v>
      </c>
      <c r="C81" s="1125"/>
      <c r="D81" s="1125"/>
      <c r="E81" s="1126" t="s">
        <v>100</v>
      </c>
      <c r="F81" s="1126"/>
      <c r="G81" s="1045">
        <f>+'ppto sistema septico'!V34</f>
        <v>1</v>
      </c>
      <c r="H81" s="715">
        <f>'ppto sistema septico'!AA34+'ppto sistema septico'!AC34+'ppto sistema septico'!AE34</f>
        <v>20355206.814749811</v>
      </c>
      <c r="I81" s="713">
        <f t="shared" si="0"/>
        <v>20355206.814749811</v>
      </c>
      <c r="J81" s="726"/>
      <c r="K81" s="726"/>
    </row>
    <row r="82" spans="2:11" ht="67.150000000000006" customHeight="1">
      <c r="B82" s="1125" t="s">
        <v>151</v>
      </c>
      <c r="C82" s="1125"/>
      <c r="D82" s="1125"/>
      <c r="E82" s="1120" t="s">
        <v>100</v>
      </c>
      <c r="F82" s="1121"/>
      <c r="G82" s="1045">
        <f>+'ppto sistema septico'!V35</f>
        <v>1</v>
      </c>
      <c r="H82" s="715">
        <f>'ppto sistema septico'!AA35+'ppto sistema septico'!AC35+'ppto sistema septico'!AE35</f>
        <v>2445690.9002544982</v>
      </c>
      <c r="I82" s="713">
        <f t="shared" si="0"/>
        <v>2445690.9002544982</v>
      </c>
      <c r="J82" s="726"/>
      <c r="K82" s="726"/>
    </row>
    <row r="83" spans="2:11" ht="78" customHeight="1">
      <c r="B83" s="1125" t="s">
        <v>152</v>
      </c>
      <c r="C83" s="1125"/>
      <c r="D83" s="1125"/>
      <c r="E83" s="1126" t="s">
        <v>100</v>
      </c>
      <c r="F83" s="1126"/>
      <c r="G83" s="1045">
        <f>+'ppto sistema septico'!V36</f>
        <v>0</v>
      </c>
      <c r="H83" s="715">
        <f>'ppto sistema septico'!AA36+'ppto sistema septico'!AC36+'ppto sistema septico'!AE36</f>
        <v>22030121.5</v>
      </c>
      <c r="I83" s="713">
        <f t="shared" si="0"/>
        <v>0</v>
      </c>
      <c r="J83" s="726"/>
      <c r="K83" s="726"/>
    </row>
    <row r="84" spans="2:11" ht="78" customHeight="1">
      <c r="B84" s="1125" t="s">
        <v>153</v>
      </c>
      <c r="C84" s="1125"/>
      <c r="D84" s="1125"/>
      <c r="E84" s="1120" t="s">
        <v>100</v>
      </c>
      <c r="F84" s="1121"/>
      <c r="G84" s="1045">
        <f>+'ppto sistema septico'!V37</f>
        <v>0</v>
      </c>
      <c r="H84" s="715">
        <f>'ppto sistema septico'!AA37+'ppto sistema septico'!AC37+'ppto sistema septico'!AE37</f>
        <v>2430319.2656546645</v>
      </c>
      <c r="I84" s="713">
        <f t="shared" si="0"/>
        <v>0</v>
      </c>
      <c r="J84" s="726"/>
      <c r="K84" s="726"/>
    </row>
    <row r="85" spans="2:11" ht="67.5" customHeight="1">
      <c r="B85" s="1122" t="s">
        <v>154</v>
      </c>
      <c r="C85" s="1123"/>
      <c r="D85" s="1124"/>
      <c r="E85" s="1120" t="s">
        <v>100</v>
      </c>
      <c r="F85" s="1121"/>
      <c r="G85" s="1045">
        <f>+'ppto sistema septico'!V38</f>
        <v>0</v>
      </c>
      <c r="H85" s="715">
        <f>'ppto sistema septico'!AA38+'ppto sistema septico'!AC38+'ppto sistema septico'!AE38</f>
        <v>25060551.662085772</v>
      </c>
      <c r="I85" s="713">
        <f t="shared" si="0"/>
        <v>0</v>
      </c>
      <c r="J85" s="726"/>
      <c r="K85" s="726"/>
    </row>
    <row r="86" spans="2:11" ht="67.5" customHeight="1">
      <c r="B86" s="1122" t="s">
        <v>155</v>
      </c>
      <c r="C86" s="1123"/>
      <c r="D86" s="1124"/>
      <c r="E86" s="1120" t="s">
        <v>100</v>
      </c>
      <c r="F86" s="1121"/>
      <c r="G86" s="1045">
        <f>+'ppto sistema septico'!V39</f>
        <v>0</v>
      </c>
      <c r="H86" s="715">
        <f>'ppto sistema septico'!AA39+'ppto sistema septico'!AC39+'ppto sistema septico'!AE39</f>
        <v>3899283.4714055806</v>
      </c>
      <c r="I86" s="713">
        <f t="shared" si="0"/>
        <v>0</v>
      </c>
      <c r="J86" s="726"/>
      <c r="K86" s="726"/>
    </row>
    <row r="87" spans="2:11" ht="49.5" customHeight="1">
      <c r="B87" s="1122" t="s">
        <v>156</v>
      </c>
      <c r="C87" s="1123"/>
      <c r="D87" s="1124"/>
      <c r="E87" s="1120" t="s">
        <v>100</v>
      </c>
      <c r="F87" s="1121"/>
      <c r="G87" s="1045">
        <f>+'ppto sistema septico'!V40</f>
        <v>1</v>
      </c>
      <c r="H87" s="712">
        <f>'ppto sistema septico'!AA40+'ppto sistema septico'!AC40+'ppto sistema septico'!AE40</f>
        <v>7009765.6824600995</v>
      </c>
      <c r="I87" s="713">
        <f t="shared" si="0"/>
        <v>7009765.6824600995</v>
      </c>
      <c r="J87" s="726"/>
      <c r="K87" s="726"/>
    </row>
    <row r="88" spans="2:11" ht="28.5" customHeight="1">
      <c r="B88" s="1125" t="s">
        <v>157</v>
      </c>
      <c r="C88" s="1125"/>
      <c r="D88" s="1125"/>
      <c r="E88" s="1126" t="s">
        <v>100</v>
      </c>
      <c r="F88" s="1126"/>
      <c r="G88" s="1045">
        <f>+'ppto sistema septico'!V41</f>
        <v>1</v>
      </c>
      <c r="H88" s="712">
        <f>'ppto sistema septico'!AA41+'ppto sistema septico'!AC41+'ppto sistema septico'!AE41</f>
        <v>7602883.7003492601</v>
      </c>
      <c r="I88" s="713">
        <f t="shared" si="0"/>
        <v>7602883.7003492601</v>
      </c>
      <c r="J88" s="726"/>
      <c r="K88" s="726"/>
    </row>
    <row r="89" spans="2:11" ht="28.5" customHeight="1">
      <c r="B89" s="1125" t="s">
        <v>158</v>
      </c>
      <c r="C89" s="1125"/>
      <c r="D89" s="1125"/>
      <c r="E89" s="1126" t="s">
        <v>100</v>
      </c>
      <c r="F89" s="1126"/>
      <c r="G89" s="1045">
        <f>+'ppto sistema septico'!V42</f>
        <v>29</v>
      </c>
      <c r="H89" s="712">
        <f>'ppto sistema septico'!AA42+'ppto sistema septico'!AC42+'ppto sistema septico'!AE42</f>
        <v>180415.02207407405</v>
      </c>
      <c r="I89" s="713">
        <f t="shared" si="0"/>
        <v>5232035.640148147</v>
      </c>
      <c r="J89" s="726"/>
      <c r="K89" s="726"/>
    </row>
    <row r="90" spans="2:11" ht="27" customHeight="1">
      <c r="B90" s="1125" t="s">
        <v>159</v>
      </c>
      <c r="C90" s="1125"/>
      <c r="D90" s="1125"/>
      <c r="E90" s="1126" t="s">
        <v>100</v>
      </c>
      <c r="F90" s="1126"/>
      <c r="G90" s="1045">
        <f>+'ppto sistema septico'!V43</f>
        <v>1</v>
      </c>
      <c r="H90" s="712">
        <f>'ppto sistema septico'!AA43+'ppto sistema septico'!AC43+'ppto sistema septico'!AE43</f>
        <v>269811.02207407408</v>
      </c>
      <c r="I90" s="713">
        <f t="shared" ref="I90:I101" si="3">+G90*H90</f>
        <v>269811.02207407408</v>
      </c>
      <c r="J90" s="726"/>
      <c r="K90" s="726"/>
    </row>
    <row r="91" spans="2:11" ht="28.5" customHeight="1">
      <c r="B91" s="1125" t="s">
        <v>160</v>
      </c>
      <c r="C91" s="1125"/>
      <c r="D91" s="1125"/>
      <c r="E91" s="1126" t="s">
        <v>100</v>
      </c>
      <c r="F91" s="1126"/>
      <c r="G91" s="1045">
        <f>+'ppto sistema septico'!V44</f>
        <v>30</v>
      </c>
      <c r="H91" s="712">
        <f>'ppto sistema septico'!AA44+'ppto sistema septico'!AC44+'ppto sistema septico'!AE44</f>
        <v>167882.2218865185</v>
      </c>
      <c r="I91" s="713">
        <f t="shared" si="3"/>
        <v>5036466.6565955551</v>
      </c>
      <c r="J91" s="726"/>
      <c r="K91" s="726"/>
    </row>
    <row r="92" spans="2:11" ht="25.5" customHeight="1">
      <c r="B92" s="1125" t="s">
        <v>161</v>
      </c>
      <c r="C92" s="1125"/>
      <c r="D92" s="1125"/>
      <c r="E92" s="1126" t="s">
        <v>97</v>
      </c>
      <c r="F92" s="1126"/>
      <c r="G92" s="1045">
        <f>+'ppto sistema septico'!V45</f>
        <v>0</v>
      </c>
      <c r="H92" s="712">
        <f>'ppto sistema septico'!AA45+'ppto sistema septico'!AC45+'ppto sistema septico'!AE45</f>
        <v>7351.8253161821331</v>
      </c>
      <c r="I92" s="713">
        <f t="shared" si="3"/>
        <v>0</v>
      </c>
      <c r="J92" s="726"/>
      <c r="K92" s="726"/>
    </row>
    <row r="93" spans="2:11" ht="24.75" customHeight="1">
      <c r="B93" s="1125" t="s">
        <v>162</v>
      </c>
      <c r="C93" s="1125"/>
      <c r="D93" s="1125"/>
      <c r="E93" s="1126" t="s">
        <v>97</v>
      </c>
      <c r="F93" s="1126"/>
      <c r="G93" s="1045">
        <f>+'ppto sistema septico'!V46</f>
        <v>0</v>
      </c>
      <c r="H93" s="712">
        <f>'ppto sistema septico'!AA46+'ppto sistema septico'!AC46+'ppto sistema septico'!AE46</f>
        <v>14852.160065095397</v>
      </c>
      <c r="I93" s="713">
        <f t="shared" si="3"/>
        <v>0</v>
      </c>
      <c r="J93" s="726"/>
      <c r="K93" s="726"/>
    </row>
    <row r="94" spans="2:11" ht="24" customHeight="1">
      <c r="B94" s="1125" t="s">
        <v>163</v>
      </c>
      <c r="C94" s="1125"/>
      <c r="D94" s="1125"/>
      <c r="E94" s="1126" t="s">
        <v>100</v>
      </c>
      <c r="F94" s="1126"/>
      <c r="G94" s="1045">
        <f>+'ppto sistema septico'!V47</f>
        <v>0</v>
      </c>
      <c r="H94" s="712">
        <f>'ppto sistema septico'!AA47+'ppto sistema septico'!AC47+'ppto sistema septico'!AE47</f>
        <v>37620.532215570442</v>
      </c>
      <c r="I94" s="713">
        <f t="shared" si="3"/>
        <v>0</v>
      </c>
      <c r="J94" s="726"/>
      <c r="K94" s="726"/>
    </row>
    <row r="95" spans="2:11" ht="26.25" customHeight="1">
      <c r="B95" s="1125" t="s">
        <v>164</v>
      </c>
      <c r="C95" s="1125"/>
      <c r="D95" s="1125"/>
      <c r="E95" s="1126" t="s">
        <v>100</v>
      </c>
      <c r="F95" s="1126"/>
      <c r="G95" s="1045">
        <f>+'ppto sistema septico'!V48</f>
        <v>0</v>
      </c>
      <c r="H95" s="712">
        <f>'ppto sistema septico'!AA48+'ppto sistema septico'!AC48+'ppto sistema septico'!AE48</f>
        <v>74372.406662222231</v>
      </c>
      <c r="I95" s="713">
        <f t="shared" si="3"/>
        <v>0</v>
      </c>
      <c r="J95" s="726"/>
      <c r="K95" s="726"/>
    </row>
    <row r="96" spans="2:11" ht="26.25" customHeight="1">
      <c r="B96" s="1125" t="s">
        <v>165</v>
      </c>
      <c r="C96" s="1125"/>
      <c r="D96" s="1125"/>
      <c r="E96" s="1126" t="s">
        <v>100</v>
      </c>
      <c r="F96" s="1126"/>
      <c r="G96" s="1045">
        <f>+'ppto sistema septico'!V49</f>
        <v>0</v>
      </c>
      <c r="H96" s="712">
        <f>'ppto sistema septico'!AA49+'ppto sistema septico'!AC49+'ppto sistema septico'!AE49</f>
        <v>41649.706662222219</v>
      </c>
      <c r="I96" s="713">
        <f t="shared" si="3"/>
        <v>0</v>
      </c>
      <c r="J96" s="726"/>
      <c r="K96" s="726"/>
    </row>
    <row r="97" spans="2:22" ht="16.5" customHeight="1">
      <c r="B97" s="1125" t="s">
        <v>166</v>
      </c>
      <c r="C97" s="1125"/>
      <c r="D97" s="1125"/>
      <c r="E97" s="1126" t="s">
        <v>130</v>
      </c>
      <c r="F97" s="1126"/>
      <c r="G97" s="1045">
        <f>+'ppto sistema septico'!V53</f>
        <v>138.30000000000001</v>
      </c>
      <c r="H97" s="712">
        <f>'ppto sistema septico'!AA53+'ppto sistema septico'!AC53+'ppto sistema septico'!AE53</f>
        <v>7007.0333111111113</v>
      </c>
      <c r="I97" s="713">
        <f t="shared" si="3"/>
        <v>969072.70692666678</v>
      </c>
      <c r="J97" s="726"/>
      <c r="K97" s="726"/>
    </row>
    <row r="98" spans="2:22" ht="27" customHeight="1">
      <c r="B98" s="1125" t="s">
        <v>167</v>
      </c>
      <c r="C98" s="1125"/>
      <c r="D98" s="1125"/>
      <c r="E98" s="1126" t="s">
        <v>100</v>
      </c>
      <c r="F98" s="1126"/>
      <c r="G98" s="1045">
        <f>+'ppto sistema septico'!V54</f>
        <v>891</v>
      </c>
      <c r="H98" s="712">
        <f>'ppto sistema septico'!AA54+'ppto sistema septico'!AC54+'ppto sistema septico'!AE54</f>
        <v>12981.589489558299</v>
      </c>
      <c r="I98" s="713">
        <f t="shared" si="3"/>
        <v>11566596.235196443</v>
      </c>
      <c r="J98" s="726"/>
      <c r="K98" s="726"/>
    </row>
    <row r="99" spans="2:22" ht="23.25" customHeight="1">
      <c r="B99" s="1125" t="s">
        <v>168</v>
      </c>
      <c r="C99" s="1125"/>
      <c r="D99" s="1125"/>
      <c r="E99" s="1126" t="s">
        <v>97</v>
      </c>
      <c r="F99" s="1126"/>
      <c r="G99" s="1045">
        <f>+'ppto sistema septico'!V55</f>
        <v>91</v>
      </c>
      <c r="H99" s="712">
        <f>'ppto sistema septico'!AA55+'ppto sistema septico'!AC55+'ppto sistema septico'!AE55</f>
        <v>113580.35546973303</v>
      </c>
      <c r="I99" s="713">
        <f t="shared" si="3"/>
        <v>10335812.347745705</v>
      </c>
      <c r="J99" s="726"/>
      <c r="K99" s="726"/>
    </row>
    <row r="100" spans="2:22" ht="21.75" customHeight="1">
      <c r="B100" s="1125" t="s">
        <v>855</v>
      </c>
      <c r="C100" s="1125"/>
      <c r="D100" s="1125"/>
      <c r="E100" s="1126" t="s">
        <v>133</v>
      </c>
      <c r="F100" s="1126"/>
      <c r="G100" s="1045">
        <f>+'ppto sistema septico'!V56</f>
        <v>1</v>
      </c>
      <c r="H100" s="712">
        <f>+'ppto sistema septico'!AA56+'ppto sistema septico'!AC56+'ppto sistema septico'!AE56</f>
        <v>217547.10877099322</v>
      </c>
      <c r="I100" s="713">
        <f t="shared" si="3"/>
        <v>217547.10877099322</v>
      </c>
      <c r="J100" s="726"/>
      <c r="K100" s="726"/>
    </row>
    <row r="101" spans="2:22" ht="21.75" customHeight="1">
      <c r="B101" s="1125" t="s">
        <v>856</v>
      </c>
      <c r="C101" s="1125"/>
      <c r="D101" s="1125"/>
      <c r="E101" s="1126" t="s">
        <v>100</v>
      </c>
      <c r="F101" s="1126"/>
      <c r="G101" s="1045">
        <f>+'ppto sistema septico'!V58</f>
        <v>1</v>
      </c>
      <c r="H101" s="712">
        <f>+'ppto sistema septico'!AA58+'ppto sistema septico'!AC58+'ppto sistema septico'!AE58</f>
        <v>180502.81294935552</v>
      </c>
      <c r="I101" s="713">
        <f t="shared" si="3"/>
        <v>180502.81294935552</v>
      </c>
      <c r="J101" s="726"/>
      <c r="K101" s="726"/>
    </row>
    <row r="102" spans="2:22" ht="15.75" customHeight="1">
      <c r="B102" s="1125"/>
      <c r="C102" s="1125"/>
      <c r="D102" s="1125"/>
      <c r="E102" s="1126"/>
      <c r="F102" s="1126"/>
      <c r="G102" s="40"/>
      <c r="H102" s="41"/>
      <c r="I102" s="870"/>
      <c r="J102" s="725"/>
      <c r="K102" s="725"/>
    </row>
    <row r="103" spans="2:22" ht="14.25" customHeight="1">
      <c r="B103" s="1150" t="s">
        <v>169</v>
      </c>
      <c r="C103" s="1151"/>
      <c r="D103" s="1151"/>
      <c r="E103" s="1151"/>
      <c r="F103" s="1151"/>
      <c r="G103" s="1151"/>
      <c r="H103" s="1151"/>
      <c r="I103" s="871">
        <f>SUM(I21:T101)</f>
        <v>299436238.99674165</v>
      </c>
      <c r="J103" s="725"/>
      <c r="K103" s="725"/>
      <c r="U103" s="717" t="s">
        <v>170</v>
      </c>
      <c r="V103" s="594"/>
    </row>
    <row r="104" spans="2:22" ht="14.25" customHeight="1">
      <c r="B104" s="1152" t="s">
        <v>60</v>
      </c>
      <c r="C104" s="1152"/>
      <c r="D104" s="1152"/>
      <c r="E104" s="1152"/>
      <c r="F104" s="1152"/>
      <c r="G104" s="1152"/>
      <c r="H104" s="1152"/>
      <c r="I104" s="871">
        <f>+'ppto sistema septico'!AJ60</f>
        <v>35825362</v>
      </c>
      <c r="J104" s="725"/>
      <c r="K104" s="725"/>
      <c r="U104" s="39"/>
      <c r="V104" s="39"/>
    </row>
    <row r="105" spans="2:22" ht="14.25" customHeight="1">
      <c r="B105" s="1156" t="s">
        <v>171</v>
      </c>
      <c r="C105" s="1157"/>
      <c r="D105" s="1157"/>
      <c r="E105" s="1157"/>
      <c r="F105" s="1157"/>
      <c r="G105" s="1157"/>
      <c r="H105" s="1158"/>
      <c r="I105" s="871">
        <f>I103-I104</f>
        <v>263610876.99674165</v>
      </c>
      <c r="J105" s="725"/>
      <c r="K105" s="725"/>
      <c r="U105" s="39"/>
      <c r="V105" s="39"/>
    </row>
    <row r="106" spans="2:22" ht="14.25" customHeight="1">
      <c r="B106" s="1164" t="s">
        <v>172</v>
      </c>
      <c r="C106" s="1164"/>
      <c r="D106" s="1164"/>
      <c r="E106" s="1164"/>
      <c r="F106" s="1164"/>
      <c r="G106" s="1164"/>
      <c r="H106" s="1164"/>
      <c r="I106" s="871">
        <f>(I105*A.U!F25)</f>
        <v>65902719.249185413</v>
      </c>
      <c r="J106" s="725"/>
      <c r="K106" s="725"/>
      <c r="U106" s="39"/>
      <c r="V106" s="39"/>
    </row>
    <row r="107" spans="2:22" ht="14.25" customHeight="1">
      <c r="B107" s="1152" t="s">
        <v>173</v>
      </c>
      <c r="C107" s="1151"/>
      <c r="D107" s="1151"/>
      <c r="E107" s="1151"/>
      <c r="F107" s="1151"/>
      <c r="G107" s="1151"/>
      <c r="H107" s="1151"/>
      <c r="I107" s="871">
        <f>+I103+I106</f>
        <v>365338958.2459271</v>
      </c>
      <c r="J107" s="725"/>
      <c r="K107" s="725"/>
      <c r="U107" s="645"/>
    </row>
    <row r="108" spans="2:22" ht="14.25" customHeight="1">
      <c r="B108" s="1152" t="s">
        <v>174</v>
      </c>
      <c r="C108" s="1152"/>
      <c r="D108" s="1152"/>
      <c r="E108" s="1152"/>
      <c r="F108" s="1152"/>
      <c r="G108" s="1152"/>
      <c r="H108" s="585">
        <f>F137</f>
        <v>328805062.42133439</v>
      </c>
      <c r="I108" s="872"/>
      <c r="J108" s="725"/>
      <c r="K108" s="725"/>
    </row>
    <row r="109" spans="2:22" ht="14.25" customHeight="1">
      <c r="B109" s="1152" t="s">
        <v>175</v>
      </c>
      <c r="C109" s="1152"/>
      <c r="D109" s="1152"/>
      <c r="E109" s="1152"/>
      <c r="F109" s="1152"/>
      <c r="G109" s="1152"/>
      <c r="H109" s="585">
        <f>(H108-I104)</f>
        <v>292979700.42133439</v>
      </c>
      <c r="I109" s="873"/>
      <c r="J109" s="725"/>
      <c r="K109" s="725"/>
    </row>
    <row r="110" spans="2:22" ht="14.25" customHeight="1">
      <c r="B110" s="1152" t="s">
        <v>176</v>
      </c>
      <c r="C110" s="1152"/>
      <c r="D110" s="1152"/>
      <c r="E110" s="1152"/>
      <c r="F110" s="1152"/>
      <c r="G110" s="1152"/>
      <c r="H110" s="585">
        <f>+H102</f>
        <v>0</v>
      </c>
      <c r="I110" s="872">
        <f>V138</f>
        <v>0</v>
      </c>
      <c r="J110" s="725"/>
      <c r="K110" s="725"/>
      <c r="U110" s="1" t="s">
        <v>177</v>
      </c>
      <c r="V110" s="1" t="s">
        <v>178</v>
      </c>
    </row>
    <row r="111" spans="2:22" ht="14.25" customHeight="1">
      <c r="B111" s="1152" t="s">
        <v>179</v>
      </c>
      <c r="C111" s="1152"/>
      <c r="D111" s="1152"/>
      <c r="E111" s="1152"/>
      <c r="F111" s="1152"/>
      <c r="G111" s="1152"/>
      <c r="H111" s="1152"/>
      <c r="I111" s="871">
        <f>+I107+I110</f>
        <v>365338958.2459271</v>
      </c>
      <c r="J111" s="725"/>
      <c r="K111" s="725"/>
      <c r="U111" s="872">
        <f>+I111*0.9</f>
        <v>328805062.42133439</v>
      </c>
      <c r="V111" s="645">
        <f>+U111-I104</f>
        <v>292979700.42133439</v>
      </c>
    </row>
    <row r="112" spans="2:22" ht="17.25" customHeight="1">
      <c r="B112" s="1152" t="s">
        <v>180</v>
      </c>
      <c r="C112" s="1152"/>
      <c r="D112" s="1152"/>
      <c r="E112" s="1152"/>
      <c r="F112" s="1152"/>
      <c r="G112" s="1152"/>
      <c r="H112" s="1152"/>
      <c r="I112" s="871">
        <f>I111-I104</f>
        <v>329513596.2459271</v>
      </c>
      <c r="J112" s="725"/>
      <c r="K112" s="725"/>
      <c r="U112" s="872">
        <f>+I111*0.1</f>
        <v>36533895.82459271</v>
      </c>
    </row>
    <row r="113" spans="2:28" ht="17.25" customHeight="1">
      <c r="B113" s="1051"/>
      <c r="C113" s="1052"/>
      <c r="D113" s="1052"/>
      <c r="E113" s="1052"/>
      <c r="F113" s="1052"/>
      <c r="G113" s="1052"/>
      <c r="H113" s="1052" t="s">
        <v>1230</v>
      </c>
      <c r="I113" s="645">
        <f>I112*3%</f>
        <v>9885407.8873778116</v>
      </c>
      <c r="J113" s="725"/>
      <c r="K113" s="725"/>
      <c r="U113" s="1053"/>
    </row>
    <row r="114" spans="2:28" ht="17.25" customHeight="1">
      <c r="B114" s="1051"/>
      <c r="C114" s="1052"/>
      <c r="D114" s="1052"/>
      <c r="E114" s="1052"/>
      <c r="F114" s="1052"/>
      <c r="G114" s="1052"/>
      <c r="H114" s="1052" t="s">
        <v>1231</v>
      </c>
      <c r="I114" s="645">
        <f>I112+I113</f>
        <v>339399004.13330489</v>
      </c>
      <c r="J114" s="725"/>
      <c r="K114" s="725"/>
      <c r="U114" s="1053"/>
    </row>
    <row r="115" spans="2:28">
      <c r="B115" s="1165"/>
      <c r="C115" s="1166"/>
      <c r="D115" s="1166"/>
      <c r="E115" s="1166"/>
      <c r="F115" s="1166"/>
      <c r="G115" s="1166"/>
      <c r="H115" s="1166"/>
      <c r="I115" s="1167"/>
      <c r="J115" s="725"/>
      <c r="K115" s="725"/>
      <c r="Y115" s="1050">
        <v>213610511</v>
      </c>
      <c r="Z115" s="1050">
        <v>10680526</v>
      </c>
      <c r="AA115" s="1050">
        <v>53402628</v>
      </c>
      <c r="AB115" s="1050">
        <f>Y115+Z115+AA115</f>
        <v>277693665</v>
      </c>
    </row>
    <row r="116" spans="2:28" s="43" customFormat="1">
      <c r="B116" s="1155" t="s">
        <v>181</v>
      </c>
      <c r="C116" s="1155"/>
      <c r="D116" s="1155"/>
      <c r="E116" s="1155"/>
      <c r="F116" s="1155"/>
      <c r="G116" s="1155"/>
      <c r="H116" s="1155"/>
      <c r="I116" s="1155"/>
      <c r="J116" s="725"/>
      <c r="K116" s="725"/>
      <c r="L116" s="1"/>
      <c r="M116" s="1"/>
      <c r="N116" s="1"/>
      <c r="O116" s="1"/>
      <c r="P116" s="1"/>
      <c r="U116" s="1"/>
      <c r="V116" s="1"/>
    </row>
    <row r="117" spans="2:28" s="43" customFormat="1" ht="18" customHeight="1">
      <c r="B117" s="1130" t="s">
        <v>75</v>
      </c>
      <c r="C117" s="1130"/>
      <c r="D117" s="1168" t="s">
        <v>182</v>
      </c>
      <c r="E117" s="1168"/>
      <c r="F117" s="1169" t="s">
        <v>183</v>
      </c>
      <c r="G117" s="1169"/>
      <c r="H117" s="1155" t="s">
        <v>184</v>
      </c>
      <c r="I117" s="1155"/>
      <c r="J117" s="725"/>
      <c r="K117" s="725"/>
      <c r="L117" s="1"/>
      <c r="M117" s="1"/>
      <c r="N117" s="1"/>
      <c r="O117" s="1"/>
      <c r="P117" s="1"/>
      <c r="V117" s="645">
        <f>I112+I113</f>
        <v>339399004.13330489</v>
      </c>
      <c r="Z117" s="1048"/>
      <c r="AA117" s="1048"/>
    </row>
    <row r="118" spans="2:28" s="43" customFormat="1" ht="12" customHeight="1">
      <c r="B118" s="1130"/>
      <c r="C118" s="1130"/>
      <c r="D118" s="1168"/>
      <c r="E118" s="1168"/>
      <c r="F118" s="1169"/>
      <c r="G118" s="1169"/>
      <c r="H118" s="1155"/>
      <c r="I118" s="1155"/>
      <c r="J118" s="725"/>
      <c r="K118" s="725"/>
      <c r="L118" s="1"/>
      <c r="M118" s="1"/>
      <c r="N118" s="1"/>
      <c r="O118" s="1"/>
      <c r="P118" s="1"/>
      <c r="U118" s="48"/>
      <c r="V118" s="624"/>
      <c r="Z118" s="1049"/>
    </row>
    <row r="119" spans="2:28" s="43" customFormat="1" ht="18" customHeight="1">
      <c r="B119" s="1130"/>
      <c r="C119" s="1130"/>
      <c r="D119" s="878" t="s">
        <v>185</v>
      </c>
      <c r="E119" s="878" t="s">
        <v>186</v>
      </c>
      <c r="F119" s="883" t="s">
        <v>185</v>
      </c>
      <c r="G119" s="883" t="s">
        <v>186</v>
      </c>
      <c r="H119" s="42" t="s">
        <v>185</v>
      </c>
      <c r="I119" s="42" t="s">
        <v>186</v>
      </c>
      <c r="J119" s="314"/>
      <c r="K119" s="314"/>
      <c r="L119" s="1"/>
      <c r="M119" s="1"/>
      <c r="N119" s="1"/>
      <c r="O119" s="1"/>
      <c r="P119" s="1"/>
    </row>
    <row r="120" spans="2:28" s="43" customFormat="1" ht="33.75" customHeight="1">
      <c r="B120" s="1149" t="s">
        <v>187</v>
      </c>
      <c r="C120" s="1149"/>
      <c r="D120" s="879">
        <f>'ppto sistema septico'!AD75</f>
        <v>232776983.11888438</v>
      </c>
      <c r="E120" s="880"/>
      <c r="F120" s="884"/>
      <c r="G120" s="885"/>
      <c r="H120" s="44"/>
      <c r="I120" s="44"/>
      <c r="J120" s="727"/>
      <c r="K120" s="727"/>
      <c r="L120" s="1"/>
      <c r="M120" s="1"/>
      <c r="N120" s="1"/>
      <c r="O120" s="1"/>
      <c r="P120" s="1"/>
      <c r="U120" s="1036">
        <f>'ppto sistema septico'!AD76</f>
        <v>20250097.903579518</v>
      </c>
      <c r="V120" s="625"/>
    </row>
    <row r="121" spans="2:28" s="43" customFormat="1" ht="33.75" customHeight="1">
      <c r="B121" s="1153" t="s">
        <v>188</v>
      </c>
      <c r="C121" s="1154"/>
      <c r="D121" s="879">
        <f>U120*(1-U121)</f>
        <v>-8977018.7560946625</v>
      </c>
      <c r="E121" s="880"/>
      <c r="F121" s="983">
        <f>U120*U121</f>
        <v>29227116.659674179</v>
      </c>
      <c r="G121" s="885"/>
      <c r="H121" s="44"/>
      <c r="I121" s="44"/>
      <c r="J121" s="727"/>
      <c r="K121" s="727"/>
      <c r="L121" s="1"/>
      <c r="M121" s="1"/>
      <c r="N121" s="1"/>
      <c r="O121" s="1"/>
      <c r="P121" s="1"/>
      <c r="U121" s="1035">
        <v>1.4433074249239968</v>
      </c>
      <c r="V121" s="625"/>
      <c r="X121" s="1"/>
      <c r="Y121" s="1"/>
    </row>
    <row r="122" spans="2:28" s="43" customFormat="1" ht="23.25" customHeight="1">
      <c r="B122" s="1149" t="s">
        <v>189</v>
      </c>
      <c r="C122" s="1149"/>
      <c r="D122" s="879">
        <f>+'ppto sistema septico'!AD77</f>
        <v>46409157.974277779</v>
      </c>
      <c r="E122" s="880"/>
      <c r="F122" s="979"/>
      <c r="G122" s="886"/>
      <c r="H122" s="44"/>
      <c r="I122" s="44"/>
      <c r="J122" s="727"/>
      <c r="K122" s="727"/>
      <c r="L122" s="1"/>
      <c r="M122" s="1"/>
      <c r="N122" s="1"/>
      <c r="O122" s="1"/>
      <c r="P122" s="1"/>
      <c r="U122" s="600" t="s">
        <v>190</v>
      </c>
      <c r="V122" s="676">
        <f>I103-U123</f>
        <v>0</v>
      </c>
      <c r="X122" s="1160" t="s">
        <v>191</v>
      </c>
      <c r="Y122" s="1161"/>
    </row>
    <row r="123" spans="2:28" s="43" customFormat="1" ht="22.5" hidden="1" customHeight="1">
      <c r="B123" s="1172" t="s">
        <v>192</v>
      </c>
      <c r="C123" s="1149"/>
      <c r="D123" s="881">
        <f>SUM(D120:D122)</f>
        <v>270209122.33706748</v>
      </c>
      <c r="E123" s="880"/>
      <c r="F123" s="887">
        <f>SUM(F120:F122)</f>
        <v>29227116.659674179</v>
      </c>
      <c r="G123" s="888"/>
      <c r="H123" s="44"/>
      <c r="I123" s="44"/>
      <c r="J123" s="727"/>
      <c r="K123" s="727"/>
      <c r="L123" s="1"/>
      <c r="M123" s="1"/>
      <c r="N123" s="1"/>
      <c r="O123" s="1"/>
      <c r="P123" s="1"/>
      <c r="U123" s="48">
        <f>D123+F123</f>
        <v>299436238.99674165</v>
      </c>
      <c r="X123" s="1"/>
      <c r="Y123" s="1"/>
    </row>
    <row r="124" spans="2:28" s="43" customFormat="1" ht="24.75" customHeight="1">
      <c r="B124" s="1170" t="s">
        <v>193</v>
      </c>
      <c r="C124" s="1170"/>
      <c r="D124" s="882">
        <f>SUM(D120:D122)</f>
        <v>270209122.33706748</v>
      </c>
      <c r="E124" s="882"/>
      <c r="F124" s="889">
        <f>SUM(F120:F122)</f>
        <v>29227116.659674179</v>
      </c>
      <c r="G124" s="889"/>
      <c r="H124" s="46"/>
      <c r="I124" s="46"/>
      <c r="J124" s="728"/>
      <c r="K124" s="728"/>
      <c r="L124" s="1"/>
      <c r="M124" s="1"/>
      <c r="N124" s="1"/>
      <c r="O124" s="1"/>
      <c r="P124" s="1"/>
      <c r="U124" s="586">
        <f>D124+F124</f>
        <v>299436238.99674165</v>
      </c>
      <c r="V124" s="586">
        <f>U124-I103</f>
        <v>0</v>
      </c>
      <c r="X124" s="455">
        <v>1</v>
      </c>
      <c r="Y124" s="316">
        <f>ROUNDUP(E148*X124,0)</f>
        <v>29</v>
      </c>
    </row>
    <row r="125" spans="2:28" s="43" customFormat="1" ht="20.25" customHeight="1">
      <c r="B125" s="1170" t="s">
        <v>194</v>
      </c>
      <c r="C125" s="1170"/>
      <c r="D125" s="882">
        <f>(D124-I104)*25%</f>
        <v>58595940.084266871</v>
      </c>
      <c r="E125" s="882"/>
      <c r="F125" s="889">
        <f>(F124)*25%</f>
        <v>7306779.1649185447</v>
      </c>
      <c r="G125" s="889"/>
      <c r="H125" s="46"/>
      <c r="I125" s="46"/>
      <c r="J125" s="728"/>
      <c r="K125" s="728"/>
      <c r="L125" s="1"/>
      <c r="M125" s="1"/>
      <c r="N125" s="1"/>
      <c r="O125" s="1"/>
      <c r="P125" s="1"/>
      <c r="U125" s="586">
        <f>D125+F125</f>
        <v>65902719.249185413</v>
      </c>
      <c r="V125" s="586">
        <f>U125-I106</f>
        <v>0</v>
      </c>
      <c r="X125" s="455">
        <v>2</v>
      </c>
      <c r="Y125" s="316">
        <f>ROUNDUP(E149*X125,0)</f>
        <v>0</v>
      </c>
    </row>
    <row r="126" spans="2:28" s="43" customFormat="1" ht="20.25" customHeight="1">
      <c r="B126" s="1149" t="s">
        <v>195</v>
      </c>
      <c r="C126" s="1149"/>
      <c r="D126" s="881"/>
      <c r="E126" s="880"/>
      <c r="F126" s="888">
        <f>I110</f>
        <v>0</v>
      </c>
      <c r="G126" s="889"/>
      <c r="H126" s="46"/>
      <c r="I126" s="46"/>
      <c r="J126" s="728"/>
      <c r="K126" s="728"/>
      <c r="L126" s="1"/>
      <c r="M126" s="1"/>
      <c r="N126" s="1"/>
      <c r="O126" s="1"/>
      <c r="P126" s="1"/>
      <c r="U126" s="586">
        <f>F126</f>
        <v>0</v>
      </c>
      <c r="V126" s="586">
        <f>F126-I110</f>
        <v>0</v>
      </c>
      <c r="X126" s="455">
        <v>2</v>
      </c>
      <c r="Y126" s="316">
        <f t="shared" ref="Y126:Y131" si="4">ROUNDUP(E150*X126,0)</f>
        <v>0</v>
      </c>
    </row>
    <row r="127" spans="2:28" s="43" customFormat="1" ht="25.5" customHeight="1">
      <c r="B127" s="1170" t="s">
        <v>196</v>
      </c>
      <c r="C127" s="1170"/>
      <c r="D127" s="881">
        <f>+D124+D125</f>
        <v>328805062.42133439</v>
      </c>
      <c r="E127" s="880"/>
      <c r="F127" s="888">
        <f>+F126+F125+F124</f>
        <v>36533895.824592724</v>
      </c>
      <c r="G127" s="889"/>
      <c r="H127" s="46"/>
      <c r="I127" s="46"/>
      <c r="J127" s="46">
        <f>I111*D129</f>
        <v>328805062.42133439</v>
      </c>
      <c r="K127" s="46">
        <f>I111*F129</f>
        <v>36533895.824592724</v>
      </c>
      <c r="L127" s="1"/>
      <c r="M127" s="1"/>
      <c r="N127" s="1"/>
      <c r="O127" s="1"/>
      <c r="P127" s="1"/>
      <c r="U127" s="586">
        <f>F137+G137+G127</f>
        <v>365338958.2459271</v>
      </c>
      <c r="V127" s="586">
        <f>U127-I111</f>
        <v>0</v>
      </c>
      <c r="X127" s="455">
        <v>3</v>
      </c>
      <c r="Y127" s="316">
        <f t="shared" si="4"/>
        <v>0</v>
      </c>
    </row>
    <row r="128" spans="2:28" s="43" customFormat="1" ht="41.25" customHeight="1">
      <c r="B128" s="1170" t="s">
        <v>197</v>
      </c>
      <c r="C128" s="1170"/>
      <c r="D128" s="881"/>
      <c r="E128" s="880"/>
      <c r="F128" s="888"/>
      <c r="G128" s="889"/>
      <c r="H128" s="47"/>
      <c r="I128" s="47"/>
      <c r="J128" s="729"/>
      <c r="K128" s="729"/>
      <c r="L128" s="1"/>
      <c r="M128" s="1"/>
      <c r="N128" s="1"/>
      <c r="O128" s="1"/>
      <c r="P128" s="1"/>
      <c r="U128" s="586">
        <f>F138+G138+G128</f>
        <v>329513596.2459271</v>
      </c>
      <c r="V128" s="586">
        <f>U128-I112</f>
        <v>0</v>
      </c>
      <c r="X128" s="455">
        <v>4</v>
      </c>
      <c r="Y128" s="316">
        <f t="shared" si="4"/>
        <v>0</v>
      </c>
    </row>
    <row r="129" spans="2:25" s="43" customFormat="1" ht="18.75" customHeight="1">
      <c r="B129" s="1173" t="s">
        <v>198</v>
      </c>
      <c r="C129" s="1174"/>
      <c r="D129" s="1038">
        <f>D127/I111</f>
        <v>0.9</v>
      </c>
      <c r="E129" s="982"/>
      <c r="F129" s="1039">
        <f>F127/I111</f>
        <v>0.10000000000000005</v>
      </c>
      <c r="G129" s="889"/>
      <c r="H129" s="47"/>
      <c r="I129" s="47"/>
      <c r="J129" s="729"/>
      <c r="K129" s="729"/>
      <c r="L129" s="45"/>
      <c r="O129" s="48"/>
      <c r="U129" s="48"/>
      <c r="V129" s="48"/>
      <c r="X129" s="455">
        <v>7</v>
      </c>
      <c r="Y129" s="316">
        <f t="shared" si="4"/>
        <v>7</v>
      </c>
    </row>
    <row r="130" spans="2:25" ht="25.5" customHeight="1">
      <c r="B130" s="1175" t="s">
        <v>199</v>
      </c>
      <c r="C130" s="1176"/>
      <c r="D130" s="1176"/>
      <c r="E130" s="1176"/>
      <c r="F130" s="1176"/>
      <c r="G130" s="1176"/>
      <c r="H130" s="1176"/>
      <c r="I130" s="1177"/>
      <c r="J130" s="730"/>
      <c r="K130" s="730"/>
      <c r="L130" s="49"/>
      <c r="M130" s="50"/>
      <c r="N130" s="51"/>
      <c r="O130" s="52"/>
      <c r="X130" s="455">
        <v>8</v>
      </c>
      <c r="Y130" s="316">
        <f t="shared" si="4"/>
        <v>0</v>
      </c>
    </row>
    <row r="131" spans="2:25">
      <c r="F131" s="50"/>
      <c r="G131" s="39"/>
      <c r="L131" s="49"/>
      <c r="X131" s="455">
        <v>8</v>
      </c>
      <c r="Y131" s="316">
        <f t="shared" si="4"/>
        <v>0</v>
      </c>
    </row>
    <row r="132" spans="2:25">
      <c r="D132" s="50"/>
      <c r="G132" s="46"/>
      <c r="X132" s="42" t="s">
        <v>200</v>
      </c>
      <c r="Y132" s="42">
        <f>SUM(Y124:Y131)</f>
        <v>36</v>
      </c>
    </row>
    <row r="133" spans="2:25">
      <c r="G133" s="53"/>
      <c r="H133" s="55"/>
    </row>
    <row r="134" spans="2:25">
      <c r="G134" s="53"/>
      <c r="H134" s="55"/>
    </row>
    <row r="135" spans="2:25">
      <c r="B135" s="735"/>
      <c r="C135" s="734"/>
      <c r="D135" s="735" t="s">
        <v>911</v>
      </c>
      <c r="F135" s="1" t="s">
        <v>914</v>
      </c>
      <c r="G135" s="53" t="s">
        <v>347</v>
      </c>
      <c r="H135" s="53"/>
      <c r="M135" s="53"/>
    </row>
    <row r="136" spans="2:25">
      <c r="B136" s="54" t="s">
        <v>201</v>
      </c>
      <c r="D136" s="734">
        <f>I111*10%</f>
        <v>36533895.82459271</v>
      </c>
      <c r="M136" s="53"/>
      <c r="U136" s="53" t="s">
        <v>912</v>
      </c>
      <c r="V136" s="977">
        <f>+'FICHAS '!BL36</f>
        <v>0</v>
      </c>
    </row>
    <row r="137" spans="2:25">
      <c r="B137" s="54" t="s">
        <v>202</v>
      </c>
      <c r="C137" s="732"/>
      <c r="D137" s="54"/>
      <c r="E137" s="1" t="s">
        <v>915</v>
      </c>
      <c r="F137" s="980">
        <f>+I111-G137</f>
        <v>328805062.42133439</v>
      </c>
      <c r="G137" s="981">
        <f>+D136</f>
        <v>36533895.82459271</v>
      </c>
      <c r="H137" s="50">
        <f>+F137+G137</f>
        <v>365338958.2459271</v>
      </c>
      <c r="M137" s="53"/>
      <c r="U137" s="53" t="s">
        <v>913</v>
      </c>
      <c r="V137" s="53">
        <v>150000</v>
      </c>
    </row>
    <row r="138" spans="2:25">
      <c r="B138" s="54" t="s">
        <v>203</v>
      </c>
      <c r="C138" s="733">
        <f>+V136*V137</f>
        <v>0</v>
      </c>
      <c r="D138" s="731">
        <f>+D136-C138</f>
        <v>36533895.82459271</v>
      </c>
      <c r="E138" s="1" t="s">
        <v>916</v>
      </c>
      <c r="F138" s="980">
        <f>F137-I104</f>
        <v>292979700.42133439</v>
      </c>
      <c r="G138" s="981">
        <f>G137</f>
        <v>36533895.82459271</v>
      </c>
      <c r="H138" s="50">
        <f>+F138+G138</f>
        <v>329513596.2459271</v>
      </c>
      <c r="M138" s="53"/>
      <c r="U138" s="1" t="s">
        <v>1185</v>
      </c>
      <c r="V138" s="50">
        <f>V136*V137</f>
        <v>0</v>
      </c>
    </row>
    <row r="139" spans="2:25">
      <c r="B139" s="54" t="s">
        <v>204</v>
      </c>
      <c r="C139" s="731"/>
      <c r="D139" s="978"/>
      <c r="F139" s="50"/>
      <c r="G139" s="53"/>
      <c r="H139" s="53"/>
      <c r="M139" s="53"/>
    </row>
    <row r="140" spans="2:25">
      <c r="B140" s="54" t="s">
        <v>205</v>
      </c>
      <c r="C140" s="731"/>
      <c r="D140" s="54"/>
      <c r="G140" s="53"/>
      <c r="H140" s="53"/>
      <c r="M140" s="53"/>
    </row>
    <row r="141" spans="2:25">
      <c r="G141" s="53"/>
      <c r="H141" s="53"/>
      <c r="M141" s="53"/>
    </row>
    <row r="142" spans="2:25" hidden="1">
      <c r="G142" s="53"/>
      <c r="M142" s="53"/>
    </row>
    <row r="143" spans="2:25" hidden="1">
      <c r="B143" s="1162" t="s">
        <v>206</v>
      </c>
      <c r="C143" s="1163"/>
      <c r="D143" s="1163"/>
      <c r="E143" s="1163"/>
      <c r="F143" s="1163"/>
      <c r="G143" s="1163"/>
      <c r="H143" s="1163"/>
      <c r="I143" s="1163"/>
      <c r="J143" s="1163"/>
      <c r="K143" s="1163"/>
      <c r="L143" s="1163"/>
      <c r="M143" s="1163"/>
      <c r="N143" s="1163"/>
      <c r="O143" s="1163"/>
      <c r="P143" s="1163"/>
      <c r="Q143" s="1163"/>
      <c r="R143" s="1163"/>
      <c r="S143" s="1163"/>
      <c r="T143" s="1163"/>
      <c r="U143" s="1163"/>
    </row>
    <row r="144" spans="2:25" hidden="1"/>
    <row r="145" spans="2:21" hidden="1">
      <c r="B145" s="975" t="s">
        <v>207</v>
      </c>
      <c r="C145" s="976">
        <f>'FICHAS '!Q37</f>
        <v>29</v>
      </c>
    </row>
    <row r="146" spans="2:21" hidden="1"/>
    <row r="147" spans="2:21" ht="38.25" hidden="1">
      <c r="B147" s="42" t="s">
        <v>208</v>
      </c>
      <c r="C147" s="42" t="s">
        <v>209</v>
      </c>
      <c r="D147" s="42" t="s">
        <v>210</v>
      </c>
      <c r="E147" s="447" t="s">
        <v>211</v>
      </c>
      <c r="F147" s="447" t="s">
        <v>212</v>
      </c>
      <c r="G147" s="447" t="s">
        <v>213</v>
      </c>
      <c r="H147" s="448" t="s">
        <v>214</v>
      </c>
      <c r="I147" s="448" t="s">
        <v>215</v>
      </c>
      <c r="J147" s="448"/>
      <c r="K147" s="448"/>
      <c r="L147" s="447" t="s">
        <v>216</v>
      </c>
      <c r="M147" s="447" t="s">
        <v>217</v>
      </c>
      <c r="N147" s="447" t="s">
        <v>218</v>
      </c>
      <c r="U147" s="447" t="s">
        <v>216</v>
      </c>
    </row>
    <row r="148" spans="2:21" ht="76.5" hidden="1">
      <c r="B148" s="449" t="s">
        <v>219</v>
      </c>
      <c r="C148" s="316" t="s">
        <v>220</v>
      </c>
      <c r="D148" s="450"/>
      <c r="E148" s="316">
        <f>'FICHAS '!P36</f>
        <v>29</v>
      </c>
      <c r="F148" s="451">
        <f t="shared" ref="F148:F155" si="5">E148*D148</f>
        <v>0</v>
      </c>
      <c r="G148" s="452" t="e">
        <f t="shared" ref="G148:G155" si="6">F148/$F$156</f>
        <v>#DIV/0!</v>
      </c>
      <c r="H148" s="450" t="e">
        <f>$I$111*G148</f>
        <v>#DIV/0!</v>
      </c>
      <c r="I148" s="450" t="e">
        <f>IF(E148&gt;0,H148/E148," ")</f>
        <v>#DIV/0!</v>
      </c>
      <c r="J148" s="450"/>
      <c r="K148" s="450"/>
      <c r="L148" s="451" t="e">
        <f>IF(#REF!&gt;D148,"SI","NO")</f>
        <v>#REF!</v>
      </c>
      <c r="M148" s="453" t="e">
        <f t="shared" ref="M148:M155" si="7">ROUNDDOWN($I$111/D148,0)</f>
        <v>#DIV/0!</v>
      </c>
      <c r="N148" s="54">
        <f>+'[75]FICHAS '!O$106</f>
        <v>0</v>
      </c>
      <c r="O148" s="454">
        <f t="shared" ref="O148:O155" si="8">+D148*N148</f>
        <v>0</v>
      </c>
      <c r="U148" s="451" t="e">
        <f t="shared" ref="U148:U155" si="9">IF(I148=" ","SIN TANQUE",IF(D148&lt;I148,"SI","NO"))</f>
        <v>#DIV/0!</v>
      </c>
    </row>
    <row r="149" spans="2:21" ht="76.5" hidden="1">
      <c r="B149" s="449" t="s">
        <v>221</v>
      </c>
      <c r="C149" s="316" t="s">
        <v>222</v>
      </c>
      <c r="D149" s="450"/>
      <c r="E149" s="316">
        <f>'FICHAS '!Q36</f>
        <v>0</v>
      </c>
      <c r="F149" s="451">
        <f t="shared" si="5"/>
        <v>0</v>
      </c>
      <c r="G149" s="452" t="e">
        <f t="shared" si="6"/>
        <v>#DIV/0!</v>
      </c>
      <c r="H149" s="450" t="e">
        <f t="shared" ref="H149:H155" si="10">$I$111*G149</f>
        <v>#DIV/0!</v>
      </c>
      <c r="I149" s="450" t="str">
        <f t="shared" ref="I149:I155" si="11">IF(E149&gt;0,H149/E149," ")</f>
        <v xml:space="preserve"> </v>
      </c>
      <c r="J149" s="450"/>
      <c r="K149" s="450"/>
      <c r="L149" s="451" t="e">
        <f>IF(#REF!&gt;D149,"SI","NO")</f>
        <v>#REF!</v>
      </c>
      <c r="M149" s="453" t="e">
        <f t="shared" si="7"/>
        <v>#DIV/0!</v>
      </c>
      <c r="N149" s="54">
        <f>+'[75]FICHAS '!P106</f>
        <v>0</v>
      </c>
      <c r="O149" s="454">
        <f t="shared" si="8"/>
        <v>0</v>
      </c>
      <c r="U149" s="451" t="str">
        <f t="shared" si="9"/>
        <v>SIN TANQUE</v>
      </c>
    </row>
    <row r="150" spans="2:21" ht="87.75" hidden="1" customHeight="1">
      <c r="B150" s="449" t="s">
        <v>223</v>
      </c>
      <c r="C150" s="316" t="s">
        <v>224</v>
      </c>
      <c r="D150" s="450"/>
      <c r="E150" s="316">
        <f>'FICHAS '!R36</f>
        <v>0</v>
      </c>
      <c r="F150" s="451">
        <f t="shared" si="5"/>
        <v>0</v>
      </c>
      <c r="G150" s="452" t="e">
        <f t="shared" si="6"/>
        <v>#DIV/0!</v>
      </c>
      <c r="H150" s="450" t="e">
        <f t="shared" si="10"/>
        <v>#DIV/0!</v>
      </c>
      <c r="I150" s="450" t="str">
        <f t="shared" si="11"/>
        <v xml:space="preserve"> </v>
      </c>
      <c r="J150" s="450"/>
      <c r="K150" s="450"/>
      <c r="L150" s="451" t="e">
        <f>IF(#REF!&gt;D150,"SI","NO")</f>
        <v>#REF!</v>
      </c>
      <c r="M150" s="453" t="e">
        <f t="shared" si="7"/>
        <v>#DIV/0!</v>
      </c>
      <c r="N150" s="54">
        <f>+'[75]FICHAS '!Q106</f>
        <v>0</v>
      </c>
      <c r="O150" s="454">
        <f t="shared" si="8"/>
        <v>0</v>
      </c>
      <c r="U150" s="451" t="str">
        <f t="shared" si="9"/>
        <v>SIN TANQUE</v>
      </c>
    </row>
    <row r="151" spans="2:21" ht="76.5" hidden="1">
      <c r="B151" s="449" t="s">
        <v>225</v>
      </c>
      <c r="C151" s="316" t="s">
        <v>226</v>
      </c>
      <c r="D151" s="450"/>
      <c r="E151" s="316">
        <f>'FICHAS '!S36</f>
        <v>0</v>
      </c>
      <c r="F151" s="451">
        <f t="shared" si="5"/>
        <v>0</v>
      </c>
      <c r="G151" s="452" t="e">
        <f t="shared" si="6"/>
        <v>#DIV/0!</v>
      </c>
      <c r="H151" s="450" t="e">
        <f t="shared" si="10"/>
        <v>#DIV/0!</v>
      </c>
      <c r="I151" s="450" t="str">
        <f t="shared" si="11"/>
        <v xml:space="preserve"> </v>
      </c>
      <c r="J151" s="450"/>
      <c r="K151" s="450"/>
      <c r="L151" s="451" t="e">
        <f>IF(#REF!&gt;D151,"SI","NO")</f>
        <v>#REF!</v>
      </c>
      <c r="M151" s="453" t="e">
        <f t="shared" si="7"/>
        <v>#DIV/0!</v>
      </c>
      <c r="N151" s="54">
        <f>+'[75]FICHAS '!R106</f>
        <v>0</v>
      </c>
      <c r="O151" s="454">
        <f t="shared" si="8"/>
        <v>0</v>
      </c>
      <c r="U151" s="451" t="str">
        <f t="shared" si="9"/>
        <v>SIN TANQUE</v>
      </c>
    </row>
    <row r="152" spans="2:21" ht="76.5" hidden="1">
      <c r="B152" s="449" t="s">
        <v>227</v>
      </c>
      <c r="C152" s="316" t="s">
        <v>228</v>
      </c>
      <c r="D152" s="450"/>
      <c r="E152" s="316">
        <f>'FICHAS '!T36</f>
        <v>0</v>
      </c>
      <c r="F152" s="451">
        <f t="shared" si="5"/>
        <v>0</v>
      </c>
      <c r="G152" s="452" t="e">
        <f t="shared" si="6"/>
        <v>#DIV/0!</v>
      </c>
      <c r="H152" s="450" t="e">
        <f t="shared" si="10"/>
        <v>#DIV/0!</v>
      </c>
      <c r="I152" s="450" t="str">
        <f t="shared" si="11"/>
        <v xml:space="preserve"> </v>
      </c>
      <c r="J152" s="450"/>
      <c r="K152" s="450"/>
      <c r="L152" s="451" t="e">
        <f>IF(#REF!&gt;D152,"SI","NO")</f>
        <v>#REF!</v>
      </c>
      <c r="M152" s="453" t="e">
        <f t="shared" si="7"/>
        <v>#DIV/0!</v>
      </c>
      <c r="N152" s="54">
        <f>+'[75]FICHAS '!S106</f>
        <v>0</v>
      </c>
      <c r="O152" s="454">
        <f t="shared" si="8"/>
        <v>0</v>
      </c>
      <c r="U152" s="451" t="str">
        <f t="shared" si="9"/>
        <v>SIN TANQUE</v>
      </c>
    </row>
    <row r="153" spans="2:21" ht="89.25" hidden="1">
      <c r="B153" s="449" t="s">
        <v>229</v>
      </c>
      <c r="C153" s="316" t="s">
        <v>230</v>
      </c>
      <c r="D153" s="450"/>
      <c r="E153" s="316">
        <f>'FICHAS '!U36</f>
        <v>1</v>
      </c>
      <c r="F153" s="451">
        <f t="shared" si="5"/>
        <v>0</v>
      </c>
      <c r="G153" s="452" t="e">
        <f t="shared" si="6"/>
        <v>#DIV/0!</v>
      </c>
      <c r="H153" s="450" t="e">
        <f t="shared" si="10"/>
        <v>#DIV/0!</v>
      </c>
      <c r="I153" s="450" t="e">
        <f t="shared" si="11"/>
        <v>#DIV/0!</v>
      </c>
      <c r="J153" s="450"/>
      <c r="K153" s="450"/>
      <c r="L153" s="451" t="e">
        <f>IF(#REF!&gt;D153,"SI","NO")</f>
        <v>#REF!</v>
      </c>
      <c r="M153" s="453" t="e">
        <f t="shared" si="7"/>
        <v>#DIV/0!</v>
      </c>
      <c r="N153" s="54">
        <f>+'[75]FICHAS '!T106</f>
        <v>0</v>
      </c>
      <c r="O153" s="454">
        <f t="shared" si="8"/>
        <v>0</v>
      </c>
      <c r="U153" s="451" t="e">
        <f t="shared" si="9"/>
        <v>#DIV/0!</v>
      </c>
    </row>
    <row r="154" spans="2:21" ht="89.25" hidden="1">
      <c r="B154" s="449" t="s">
        <v>231</v>
      </c>
      <c r="C154" s="316" t="s">
        <v>232</v>
      </c>
      <c r="D154" s="450"/>
      <c r="E154" s="316">
        <f>'FICHAS '!V36</f>
        <v>0</v>
      </c>
      <c r="F154" s="451">
        <f t="shared" si="5"/>
        <v>0</v>
      </c>
      <c r="G154" s="452" t="e">
        <f t="shared" si="6"/>
        <v>#DIV/0!</v>
      </c>
      <c r="H154" s="450" t="e">
        <f t="shared" si="10"/>
        <v>#DIV/0!</v>
      </c>
      <c r="I154" s="450" t="str">
        <f t="shared" si="11"/>
        <v xml:space="preserve"> </v>
      </c>
      <c r="J154" s="450"/>
      <c r="K154" s="450"/>
      <c r="L154" s="451" t="e">
        <f>IF(#REF!&gt;D154,"SI","NO")</f>
        <v>#REF!</v>
      </c>
      <c r="M154" s="453" t="e">
        <f t="shared" si="7"/>
        <v>#DIV/0!</v>
      </c>
      <c r="N154" s="54">
        <f>+'[75]FICHAS '!U106</f>
        <v>0</v>
      </c>
      <c r="O154" s="454">
        <f t="shared" si="8"/>
        <v>0</v>
      </c>
      <c r="U154" s="451" t="str">
        <f t="shared" si="9"/>
        <v>SIN TANQUE</v>
      </c>
    </row>
    <row r="155" spans="2:21" ht="76.5" hidden="1">
      <c r="B155" s="449" t="s">
        <v>233</v>
      </c>
      <c r="C155" s="316" t="s">
        <v>234</v>
      </c>
      <c r="D155" s="450"/>
      <c r="E155" s="316">
        <f>'FICHAS '!W36</f>
        <v>0</v>
      </c>
      <c r="F155" s="451">
        <f t="shared" si="5"/>
        <v>0</v>
      </c>
      <c r="G155" s="452" t="e">
        <f t="shared" si="6"/>
        <v>#DIV/0!</v>
      </c>
      <c r="H155" s="450" t="e">
        <f t="shared" si="10"/>
        <v>#DIV/0!</v>
      </c>
      <c r="I155" s="450" t="str">
        <f t="shared" si="11"/>
        <v xml:space="preserve"> </v>
      </c>
      <c r="J155" s="450"/>
      <c r="K155" s="450"/>
      <c r="L155" s="451" t="e">
        <f>IF(#REF!&gt;D155,"SI","NO")</f>
        <v>#REF!</v>
      </c>
      <c r="M155" s="453" t="e">
        <f t="shared" si="7"/>
        <v>#DIV/0!</v>
      </c>
      <c r="N155" s="54">
        <f>+'[75]FICHAS '!V106</f>
        <v>0</v>
      </c>
      <c r="O155" s="454">
        <f t="shared" si="8"/>
        <v>0</v>
      </c>
      <c r="U155" s="451" t="str">
        <f t="shared" si="9"/>
        <v>SIN TANQUE</v>
      </c>
    </row>
    <row r="156" spans="2:21" hidden="1">
      <c r="C156" s="314"/>
      <c r="D156" s="42" t="s">
        <v>200</v>
      </c>
      <c r="E156" s="456">
        <f>SUM(E148:E155)</f>
        <v>30</v>
      </c>
      <c r="F156" s="457">
        <f>SUM(F148:F155)</f>
        <v>0</v>
      </c>
      <c r="G156" s="457" t="e">
        <f>SUM(G148:G155)</f>
        <v>#DIV/0!</v>
      </c>
      <c r="H156" s="458" t="e">
        <f>SUM(H148:H155)</f>
        <v>#DIV/0!</v>
      </c>
      <c r="I156" s="459"/>
      <c r="J156" s="459"/>
      <c r="K156" s="459"/>
      <c r="L156" s="460"/>
      <c r="M156" s="460" t="s">
        <v>235</v>
      </c>
      <c r="N156" s="1">
        <f>SUM(N148:N155)</f>
        <v>0</v>
      </c>
      <c r="O156" s="454">
        <f>SUM(O148:O155)</f>
        <v>0</v>
      </c>
    </row>
    <row r="157" spans="2:21" hidden="1"/>
    <row r="158" spans="2:21" hidden="1">
      <c r="F158" s="461" t="s">
        <v>236</v>
      </c>
      <c r="G158" s="462" t="e">
        <f>H156-F156</f>
        <v>#DIV/0!</v>
      </c>
      <c r="L158" s="39">
        <f>+I111-O156</f>
        <v>365338958.2459271</v>
      </c>
    </row>
    <row r="159" spans="2:21" hidden="1"/>
    <row r="160" spans="2:21" hidden="1"/>
    <row r="161" spans="2:12" hidden="1"/>
    <row r="162" spans="2:12" hidden="1">
      <c r="B162" s="1159" t="s">
        <v>237</v>
      </c>
      <c r="C162" s="1159"/>
      <c r="D162" s="1159"/>
      <c r="E162" s="1159"/>
      <c r="G162" s="1171"/>
      <c r="H162" s="1171"/>
      <c r="I162" s="1171"/>
      <c r="J162" s="1171"/>
      <c r="K162" s="1171"/>
      <c r="L162" s="1171"/>
    </row>
    <row r="163" spans="2:12" ht="38.25" hidden="1">
      <c r="B163" s="447" t="s">
        <v>238</v>
      </c>
      <c r="C163" s="447" t="s">
        <v>239</v>
      </c>
      <c r="D163" s="447" t="s">
        <v>240</v>
      </c>
      <c r="E163" s="447" t="s">
        <v>241</v>
      </c>
      <c r="G163" s="307"/>
      <c r="H163" s="307"/>
      <c r="I163" s="307"/>
      <c r="J163" s="307"/>
      <c r="K163" s="307"/>
      <c r="L163" s="463"/>
    </row>
    <row r="164" spans="2:12" hidden="1">
      <c r="B164" s="464">
        <v>50</v>
      </c>
      <c r="C164" s="465">
        <f>B164*D148</f>
        <v>0</v>
      </c>
      <c r="D164" s="465">
        <f>C164*0.8</f>
        <v>0</v>
      </c>
      <c r="E164" s="465">
        <f>C164*0.2</f>
        <v>0</v>
      </c>
      <c r="G164" s="466"/>
      <c r="H164" s="467"/>
      <c r="I164" s="467"/>
      <c r="J164" s="467"/>
      <c r="K164" s="467"/>
      <c r="L164" s="467"/>
    </row>
    <row r="165" spans="2:12" hidden="1">
      <c r="B165" s="464">
        <v>30</v>
      </c>
      <c r="C165" s="465">
        <f>B165*D148</f>
        <v>0</v>
      </c>
      <c r="D165" s="465">
        <f>C165*0.8</f>
        <v>0</v>
      </c>
      <c r="E165" s="465">
        <f>C165*0.2</f>
        <v>0</v>
      </c>
      <c r="G165" s="466"/>
      <c r="H165" s="467"/>
      <c r="I165" s="467"/>
      <c r="J165" s="467"/>
      <c r="K165" s="467"/>
      <c r="L165" s="467"/>
    </row>
    <row r="166" spans="2:12" hidden="1"/>
    <row r="167" spans="2:12" hidden="1"/>
    <row r="168" spans="2:12" hidden="1">
      <c r="B168" s="1159" t="s">
        <v>242</v>
      </c>
      <c r="C168" s="1159"/>
      <c r="D168" s="1159"/>
      <c r="E168" s="1159"/>
    </row>
    <row r="169" spans="2:12" ht="38.25" hidden="1">
      <c r="B169" s="447" t="s">
        <v>243</v>
      </c>
      <c r="C169" s="447" t="s">
        <v>239</v>
      </c>
      <c r="D169" s="447" t="s">
        <v>240</v>
      </c>
      <c r="E169" s="468" t="s">
        <v>241</v>
      </c>
    </row>
    <row r="170" spans="2:12" hidden="1">
      <c r="B170" s="464"/>
      <c r="C170" s="465" t="e">
        <f>E170*C164/E164</f>
        <v>#DIV/0!</v>
      </c>
      <c r="D170" s="465" t="e">
        <f>C170*0.8</f>
        <v>#DIV/0!</v>
      </c>
      <c r="E170" s="465"/>
    </row>
    <row r="171" spans="2:12" hidden="1"/>
  </sheetData>
  <sheetProtection insertRows="0"/>
  <scenarios current="0">
    <scenario name="10%" locked="1" count="1" user="koogu" comment="Creado por koogu el 8/10/2024">
      <inputCells r="U121" val="0,311024138363043"/>
    </scenario>
  </scenarios>
  <mergeCells count="209">
    <mergeCell ref="B101:D101"/>
    <mergeCell ref="E101:F101"/>
    <mergeCell ref="B30:D30"/>
    <mergeCell ref="E30:F30"/>
    <mergeCell ref="B69:D69"/>
    <mergeCell ref="E69:F69"/>
    <mergeCell ref="B27:D27"/>
    <mergeCell ref="E27:F27"/>
    <mergeCell ref="B66:D66"/>
    <mergeCell ref="E66:F66"/>
    <mergeCell ref="B28:D28"/>
    <mergeCell ref="E28:F28"/>
    <mergeCell ref="B67:D67"/>
    <mergeCell ref="E67:F67"/>
    <mergeCell ref="B89:D89"/>
    <mergeCell ref="E81:F81"/>
    <mergeCell ref="E83:F83"/>
    <mergeCell ref="B88:D88"/>
    <mergeCell ref="E88:F88"/>
    <mergeCell ref="B85:D85"/>
    <mergeCell ref="E85:F85"/>
    <mergeCell ref="B35:D35"/>
    <mergeCell ref="E35:F35"/>
    <mergeCell ref="B37:D37"/>
    <mergeCell ref="E100:F100"/>
    <mergeCell ref="B99:D99"/>
    <mergeCell ref="E99:F99"/>
    <mergeCell ref="E37:F37"/>
    <mergeCell ref="B39:D39"/>
    <mergeCell ref="E39:F39"/>
    <mergeCell ref="E43:F43"/>
    <mergeCell ref="B43:D43"/>
    <mergeCell ref="B41:D41"/>
    <mergeCell ref="B40:D40"/>
    <mergeCell ref="E40:F40"/>
    <mergeCell ref="B38:D38"/>
    <mergeCell ref="E38:F38"/>
    <mergeCell ref="E41:F41"/>
    <mergeCell ref="E94:F94"/>
    <mergeCell ref="B90:D90"/>
    <mergeCell ref="B78:D78"/>
    <mergeCell ref="E78:F78"/>
    <mergeCell ref="E80:F80"/>
    <mergeCell ref="B80:D80"/>
    <mergeCell ref="E82:F82"/>
    <mergeCell ref="B87:D87"/>
    <mergeCell ref="E87:F87"/>
    <mergeCell ref="B82:D82"/>
    <mergeCell ref="B168:E168"/>
    <mergeCell ref="X122:Y122"/>
    <mergeCell ref="B143:U143"/>
    <mergeCell ref="B106:H106"/>
    <mergeCell ref="B110:G110"/>
    <mergeCell ref="B109:G109"/>
    <mergeCell ref="B115:I115"/>
    <mergeCell ref="B116:I116"/>
    <mergeCell ref="B117:C119"/>
    <mergeCell ref="D117:E118"/>
    <mergeCell ref="F117:G118"/>
    <mergeCell ref="B107:H107"/>
    <mergeCell ref="B128:C128"/>
    <mergeCell ref="B125:C125"/>
    <mergeCell ref="B162:E162"/>
    <mergeCell ref="G162:L162"/>
    <mergeCell ref="B127:C127"/>
    <mergeCell ref="B123:C123"/>
    <mergeCell ref="B129:C129"/>
    <mergeCell ref="B111:H111"/>
    <mergeCell ref="B120:C120"/>
    <mergeCell ref="B130:I130"/>
    <mergeCell ref="B126:C126"/>
    <mergeCell ref="B124:C124"/>
    <mergeCell ref="B98:D98"/>
    <mergeCell ref="B91:D91"/>
    <mergeCell ref="B122:C122"/>
    <mergeCell ref="B103:H103"/>
    <mergeCell ref="B100:D100"/>
    <mergeCell ref="E97:F97"/>
    <mergeCell ref="E98:F98"/>
    <mergeCell ref="B102:D102"/>
    <mergeCell ref="E102:F102"/>
    <mergeCell ref="E92:F92"/>
    <mergeCell ref="B104:H104"/>
    <mergeCell ref="B112:H112"/>
    <mergeCell ref="B108:G108"/>
    <mergeCell ref="B96:D96"/>
    <mergeCell ref="E93:F93"/>
    <mergeCell ref="B97:D97"/>
    <mergeCell ref="E96:F96"/>
    <mergeCell ref="B95:D95"/>
    <mergeCell ref="B121:C121"/>
    <mergeCell ref="H118:I118"/>
    <mergeCell ref="H117:I117"/>
    <mergeCell ref="B93:D93"/>
    <mergeCell ref="B105:H105"/>
    <mergeCell ref="B94:D94"/>
    <mergeCell ref="B92:D92"/>
    <mergeCell ref="E95:F95"/>
    <mergeCell ref="E76:F76"/>
    <mergeCell ref="B76:D76"/>
    <mergeCell ref="B59:D59"/>
    <mergeCell ref="E59:F59"/>
    <mergeCell ref="B58:D58"/>
    <mergeCell ref="E58:F58"/>
    <mergeCell ref="B65:D65"/>
    <mergeCell ref="E65:F65"/>
    <mergeCell ref="B68:D68"/>
    <mergeCell ref="E68:F68"/>
    <mergeCell ref="E77:F77"/>
    <mergeCell ref="B70:D70"/>
    <mergeCell ref="E70:F70"/>
    <mergeCell ref="E71:F71"/>
    <mergeCell ref="B73:D73"/>
    <mergeCell ref="B71:D71"/>
    <mergeCell ref="B75:D75"/>
    <mergeCell ref="E75:F75"/>
    <mergeCell ref="E73:F73"/>
    <mergeCell ref="B77:D77"/>
    <mergeCell ref="B72:D72"/>
    <mergeCell ref="E72:F72"/>
    <mergeCell ref="B57:D57"/>
    <mergeCell ref="E57:F57"/>
    <mergeCell ref="B64:D64"/>
    <mergeCell ref="E64:F64"/>
    <mergeCell ref="B60:D60"/>
    <mergeCell ref="E60:F60"/>
    <mergeCell ref="B61:D61"/>
    <mergeCell ref="E61:F61"/>
    <mergeCell ref="E91:F91"/>
    <mergeCell ref="B62:D62"/>
    <mergeCell ref="E62:F62"/>
    <mergeCell ref="E90:F90"/>
    <mergeCell ref="B74:D74"/>
    <mergeCell ref="E74:F74"/>
    <mergeCell ref="E84:F84"/>
    <mergeCell ref="E86:F86"/>
    <mergeCell ref="B84:D84"/>
    <mergeCell ref="B86:D86"/>
    <mergeCell ref="B79:D79"/>
    <mergeCell ref="B81:D81"/>
    <mergeCell ref="E79:F79"/>
    <mergeCell ref="B83:D83"/>
    <mergeCell ref="E89:F89"/>
    <mergeCell ref="B48:D48"/>
    <mergeCell ref="E48:F48"/>
    <mergeCell ref="B50:D50"/>
    <mergeCell ref="E50:F50"/>
    <mergeCell ref="B55:D55"/>
    <mergeCell ref="E55:F55"/>
    <mergeCell ref="B56:D56"/>
    <mergeCell ref="E56:F56"/>
    <mergeCell ref="B51:D51"/>
    <mergeCell ref="E51:F51"/>
    <mergeCell ref="B52:D52"/>
    <mergeCell ref="E52:F52"/>
    <mergeCell ref="B53:D53"/>
    <mergeCell ref="E53:F53"/>
    <mergeCell ref="B54:D54"/>
    <mergeCell ref="E54:F54"/>
    <mergeCell ref="B49:D49"/>
    <mergeCell ref="E49:F49"/>
    <mergeCell ref="D2:G3"/>
    <mergeCell ref="H2:I2"/>
    <mergeCell ref="H3:I3"/>
    <mergeCell ref="B5:I5"/>
    <mergeCell ref="B7:I7"/>
    <mergeCell ref="B11:H11"/>
    <mergeCell ref="B2:C3"/>
    <mergeCell ref="B36:D36"/>
    <mergeCell ref="E36:F36"/>
    <mergeCell ref="B31:D31"/>
    <mergeCell ref="E31:F31"/>
    <mergeCell ref="B32:D32"/>
    <mergeCell ref="E32:F32"/>
    <mergeCell ref="B34:D34"/>
    <mergeCell ref="E34:F34"/>
    <mergeCell ref="B29:D29"/>
    <mergeCell ref="E29:F29"/>
    <mergeCell ref="B23:D23"/>
    <mergeCell ref="E23:F23"/>
    <mergeCell ref="B16:H16"/>
    <mergeCell ref="B18:I18"/>
    <mergeCell ref="B19:D19"/>
    <mergeCell ref="B21:D21"/>
    <mergeCell ref="E21:F21"/>
    <mergeCell ref="E47:F47"/>
    <mergeCell ref="B47:D47"/>
    <mergeCell ref="E46:F46"/>
    <mergeCell ref="B46:D46"/>
    <mergeCell ref="B22:D22"/>
    <mergeCell ref="E22:F22"/>
    <mergeCell ref="B45:D45"/>
    <mergeCell ref="E45:F45"/>
    <mergeCell ref="B12:I12"/>
    <mergeCell ref="E19:F19"/>
    <mergeCell ref="B20:D20"/>
    <mergeCell ref="E20:F20"/>
    <mergeCell ref="B42:D42"/>
    <mergeCell ref="E42:F42"/>
    <mergeCell ref="B44:D44"/>
    <mergeCell ref="E44:F44"/>
    <mergeCell ref="B24:D24"/>
    <mergeCell ref="E24:F24"/>
    <mergeCell ref="B25:D25"/>
    <mergeCell ref="E25:F25"/>
    <mergeCell ref="B26:D26"/>
    <mergeCell ref="E26:F26"/>
    <mergeCell ref="B33:D33"/>
    <mergeCell ref="E33:F33"/>
  </mergeCells>
  <conditionalFormatting sqref="G158">
    <cfRule type="cellIs" dxfId="19" priority="2" stopIfTrue="1" operator="greaterThan">
      <formula>0</formula>
    </cfRule>
  </conditionalFormatting>
  <conditionalFormatting sqref="L148:L155">
    <cfRule type="containsText" dxfId="18" priority="5" stopIfTrue="1" operator="containsText" text="NO">
      <formula>NOT(ISERROR(SEARCH("NO",L148)))</formula>
    </cfRule>
    <cfRule type="containsText" dxfId="17" priority="6" stopIfTrue="1" operator="containsText" text="SI">
      <formula>NOT(ISERROR(SEARCH("SI",L148)))</formula>
    </cfRule>
  </conditionalFormatting>
  <conditionalFormatting sqref="U148:U155">
    <cfRule type="containsText" dxfId="16" priority="1" stopIfTrue="1" operator="containsText" text="SIN TANQUE">
      <formula>NOT(ISERROR(SEARCH("SIN TANQUE",U148)))</formula>
    </cfRule>
    <cfRule type="containsText" dxfId="15" priority="3" stopIfTrue="1" operator="containsText" text="NO">
      <formula>NOT(ISERROR(SEARCH("NO",U148)))</formula>
    </cfRule>
    <cfRule type="containsText" dxfId="14" priority="4" stopIfTrue="1" operator="containsText" text="SI">
      <formula>NOT(ISERROR(SEARCH("SI",U148)))</formula>
    </cfRule>
  </conditionalFormatting>
  <dataValidations count="9">
    <dataValidation allowBlank="1" showInputMessage="1" showErrorMessage="1" prompt="diligencie la dedicación del personal relacionado." sqref="D13:D14" xr:uid="{00000000-0002-0000-0100-000000000000}"/>
    <dataValidation allowBlank="1" showInputMessage="1" showErrorMessage="1" prompt="diligencie la dedicación del personal relacionado._x000a_" sqref="D8:D9" xr:uid="{00000000-0002-0000-0100-000001000000}"/>
    <dataValidation allowBlank="1" showInputMessage="1" showErrorMessage="1" prompt="diligencie la cantidad del personal requerido" sqref="C9 C13:C14" xr:uid="{00000000-0002-0000-0100-000002000000}"/>
    <dataValidation allowBlank="1" showInputMessage="1" showErrorMessage="1" prompt="definir la unidad de medida con la cual se asigna el valor unitario." sqref="E8:E9 E13:E14" xr:uid="{00000000-0002-0000-0100-000003000000}"/>
    <dataValidation allowBlank="1" showInputMessage="1" showErrorMessage="1" prompt="diligencie la cantidad de unidad de medida del valor unitario" sqref="F8:F9 F13:F14 G24" xr:uid="{00000000-0002-0000-0100-000004000000}"/>
    <dataValidation allowBlank="1" showInputMessage="1" showErrorMessage="1" prompt="traer el valor definido en la hoja &quot;honorarios Corporativos&quot;" sqref="G8:G9 G13:G14" xr:uid="{00000000-0002-0000-0100-000005000000}"/>
    <dataValidation allowBlank="1" showInputMessage="1" showErrorMessage="1" prompt="ingrese el valor del Factor Prestacional asignado para el personal." sqref="H8:H9 H13:H14" xr:uid="{00000000-0002-0000-0100-000006000000}"/>
    <dataValidation allowBlank="1" showInputMessage="1" showErrorMessage="1" prompt="Describa aqui el nombre de la entidad u otras entidades" sqref="H118:I118" xr:uid="{00000000-0002-0000-0100-000007000000}"/>
    <dataValidation allowBlank="1" showInputMessage="1" showErrorMessage="1" prompt="Describa aquí el aporte en especie de los cofinanciadores, en caso de ser necesario." sqref="B130" xr:uid="{00000000-0002-0000-0100-000008000000}"/>
  </dataValidations>
  <printOptions horizontalCentered="1"/>
  <pageMargins left="0.19685039370078741" right="0.19685039370078741" top="0.19685039370078741" bottom="0.19685039370078741" header="0" footer="0"/>
  <pageSetup scale="60" fitToHeight="2" orientation="portrait" r:id="rId1"/>
  <rowBreaks count="1" manualBreakCount="1">
    <brk id="114"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sheetPr>
  <dimension ref="A1:EN802"/>
  <sheetViews>
    <sheetView showGridLines="0" topLeftCell="AE6" zoomScale="70" zoomScaleNormal="70" zoomScaleSheetLayoutView="70" workbookViewId="0">
      <pane ySplit="6" topLeftCell="A41" activePane="bottomLeft" state="frozen"/>
      <selection activeCell="C6" sqref="C6"/>
      <selection pane="bottomLeft" activeCell="AS44" sqref="AS44"/>
    </sheetView>
  </sheetViews>
  <sheetFormatPr baseColWidth="10" defaultColWidth="12" defaultRowHeight="14.25"/>
  <cols>
    <col min="1" max="1" width="9.33203125" style="267" hidden="1" customWidth="1"/>
    <col min="2" max="2" width="17" style="267" hidden="1" customWidth="1"/>
    <col min="3" max="3" width="68.83203125" style="277" customWidth="1"/>
    <col min="4" max="4" width="12.1640625" style="267" customWidth="1"/>
    <col min="5" max="5" width="16.83203125" style="272" customWidth="1"/>
    <col min="6" max="6" width="16" style="273" customWidth="1"/>
    <col min="7" max="7" width="18.6640625" style="273" customWidth="1"/>
    <col min="8" max="8" width="18.1640625" style="273" customWidth="1"/>
    <col min="9" max="9" width="17" style="273" customWidth="1"/>
    <col min="10" max="10" width="18.33203125" style="273" customWidth="1"/>
    <col min="11" max="11" width="19.83203125" style="273" customWidth="1"/>
    <col min="12" max="12" width="24.1640625" style="273" customWidth="1"/>
    <col min="13" max="15" width="17.33203125" style="273" customWidth="1"/>
    <col min="16" max="16" width="19.83203125" style="273" customWidth="1"/>
    <col min="17" max="18" width="19.83203125" style="287" customWidth="1"/>
    <col min="19" max="20" width="19.83203125" style="274" customWidth="1"/>
    <col min="21" max="21" width="16" style="275" customWidth="1"/>
    <col min="22" max="22" width="14.6640625" style="275" customWidth="1"/>
    <col min="23" max="23" width="19.83203125" style="261" customWidth="1"/>
    <col min="24" max="24" width="20.1640625" style="261" customWidth="1"/>
    <col min="25" max="25" width="21.83203125" style="261" customWidth="1"/>
    <col min="26" max="26" width="22.1640625" style="261" customWidth="1"/>
    <col min="27" max="27" width="23.33203125" style="56" customWidth="1"/>
    <col min="28" max="28" width="25.6640625" style="56" customWidth="1"/>
    <col min="29" max="29" width="38.5" style="56" customWidth="1"/>
    <col min="30" max="30" width="28" style="56" customWidth="1"/>
    <col min="31" max="31" width="28.33203125" style="56" customWidth="1"/>
    <col min="32" max="32" width="20.83203125" style="56" customWidth="1"/>
    <col min="33" max="33" width="21.83203125" style="59" customWidth="1"/>
    <col min="34" max="34" width="19.6640625" style="60" customWidth="1"/>
    <col min="35" max="35" width="20.83203125" style="56" customWidth="1"/>
    <col min="36" max="36" width="24.83203125" style="56" customWidth="1"/>
    <col min="37" max="37" width="60" style="56" customWidth="1"/>
    <col min="38" max="38" width="23.1640625" style="56" customWidth="1"/>
    <col min="39" max="39" width="19.1640625" style="56" customWidth="1"/>
    <col min="40" max="16384" width="12" style="56"/>
  </cols>
  <sheetData>
    <row r="1" spans="1:36" ht="15" hidden="1" customHeight="1">
      <c r="A1" s="1178" t="s">
        <v>244</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row>
    <row r="2" spans="1:36" ht="15.75" hidden="1" thickBot="1">
      <c r="A2" s="57"/>
      <c r="B2" s="57"/>
      <c r="C2" s="57"/>
      <c r="D2" s="57"/>
      <c r="E2" s="57"/>
      <c r="F2" s="57"/>
      <c r="G2" s="57"/>
      <c r="H2" s="57"/>
      <c r="I2" s="57"/>
      <c r="J2" s="57"/>
      <c r="K2" s="57"/>
      <c r="L2" s="57"/>
      <c r="M2" s="57"/>
      <c r="N2" s="57"/>
      <c r="O2" s="57"/>
      <c r="P2" s="58"/>
      <c r="Q2" s="58"/>
      <c r="R2" s="58"/>
      <c r="S2" s="58"/>
      <c r="T2" s="58"/>
      <c r="U2" s="57"/>
      <c r="V2" s="57"/>
      <c r="W2" s="57"/>
      <c r="X2" s="57"/>
      <c r="Y2" s="57"/>
      <c r="Z2" s="57"/>
    </row>
    <row r="3" spans="1:36" ht="38.25" hidden="1" customHeight="1">
      <c r="A3" s="1179" t="s">
        <v>245</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row>
    <row r="4" spans="1:36" ht="31.5" hidden="1" customHeight="1">
      <c r="A4" s="1180" t="s">
        <v>246</v>
      </c>
      <c r="B4" s="1180"/>
      <c r="C4" s="1180"/>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row>
    <row r="5" spans="1:36" ht="18" hidden="1" customHeight="1" thickBot="1">
      <c r="A5" s="57"/>
      <c r="B5" s="57"/>
      <c r="C5" s="57"/>
      <c r="D5" s="57"/>
      <c r="E5" s="1178" t="s">
        <v>247</v>
      </c>
      <c r="F5" s="1178"/>
      <c r="G5" s="1178"/>
      <c r="H5" s="1178"/>
      <c r="I5" s="1178"/>
      <c r="J5" s="1178"/>
      <c r="K5" s="1178"/>
      <c r="L5" s="1178"/>
      <c r="M5" s="1178"/>
      <c r="N5" s="1178"/>
      <c r="O5" s="1178"/>
      <c r="P5" s="1178"/>
      <c r="Q5" s="1178"/>
      <c r="R5" s="1178"/>
      <c r="S5" s="1178"/>
      <c r="T5" s="1178"/>
      <c r="U5" s="1178"/>
      <c r="V5" s="61"/>
      <c r="W5" s="57"/>
      <c r="X5" s="57"/>
      <c r="Y5" s="62"/>
      <c r="Z5" s="62"/>
    </row>
    <row r="6" spans="1:36" ht="16.5" customHeight="1">
      <c r="A6" s="1181" t="s">
        <v>248</v>
      </c>
      <c r="B6" s="1185" t="s">
        <v>249</v>
      </c>
      <c r="C6" s="1185" t="s">
        <v>250</v>
      </c>
      <c r="D6" s="1247" t="s">
        <v>251</v>
      </c>
      <c r="E6" s="1195" t="s">
        <v>76</v>
      </c>
      <c r="F6" s="1196"/>
      <c r="G6" s="1193" t="s">
        <v>252</v>
      </c>
      <c r="H6" s="1194"/>
      <c r="I6" s="1197" t="s">
        <v>252</v>
      </c>
      <c r="J6" s="1198"/>
      <c r="K6" s="1191" t="s">
        <v>252</v>
      </c>
      <c r="L6" s="1192"/>
      <c r="M6" s="1191" t="s">
        <v>252</v>
      </c>
      <c r="N6" s="1192"/>
      <c r="O6" s="1191" t="s">
        <v>252</v>
      </c>
      <c r="P6" s="1192"/>
      <c r="Q6" s="1191" t="s">
        <v>252</v>
      </c>
      <c r="R6" s="1192"/>
      <c r="S6" s="1192" t="s">
        <v>252</v>
      </c>
      <c r="T6" s="1199"/>
      <c r="U6" s="1209" t="s">
        <v>253</v>
      </c>
      <c r="V6" s="1209" t="s">
        <v>253</v>
      </c>
      <c r="W6" s="1227" t="s">
        <v>254</v>
      </c>
      <c r="X6" s="1224" t="s">
        <v>255</v>
      </c>
      <c r="Y6" s="1224" t="s">
        <v>256</v>
      </c>
      <c r="Z6" s="1217" t="s">
        <v>257</v>
      </c>
      <c r="AA6" s="1200" t="s">
        <v>258</v>
      </c>
      <c r="AB6" s="1201"/>
      <c r="AC6" s="1201"/>
      <c r="AD6" s="1201"/>
      <c r="AE6" s="1201"/>
      <c r="AF6" s="1201"/>
      <c r="AG6" s="1201"/>
      <c r="AH6" s="1202"/>
      <c r="AI6" s="1206" t="s">
        <v>200</v>
      </c>
    </row>
    <row r="7" spans="1:36" s="71" customFormat="1" ht="34.5" customHeight="1">
      <c r="A7" s="1182"/>
      <c r="B7" s="1186"/>
      <c r="C7" s="1186"/>
      <c r="D7" s="1248"/>
      <c r="E7" s="63" t="s">
        <v>259</v>
      </c>
      <c r="F7" s="64" t="s">
        <v>260</v>
      </c>
      <c r="G7" s="65" t="s">
        <v>259</v>
      </c>
      <c r="H7" s="66" t="s">
        <v>260</v>
      </c>
      <c r="I7" s="67" t="s">
        <v>259</v>
      </c>
      <c r="J7" s="68" t="s">
        <v>260</v>
      </c>
      <c r="K7" s="69" t="s">
        <v>259</v>
      </c>
      <c r="L7" s="70" t="s">
        <v>260</v>
      </c>
      <c r="M7" s="69" t="s">
        <v>259</v>
      </c>
      <c r="N7" s="70" t="s">
        <v>260</v>
      </c>
      <c r="O7" s="69" t="s">
        <v>259</v>
      </c>
      <c r="P7" s="70" t="s">
        <v>261</v>
      </c>
      <c r="Q7" s="69" t="s">
        <v>259</v>
      </c>
      <c r="R7" s="70" t="s">
        <v>260</v>
      </c>
      <c r="S7" s="69" t="s">
        <v>259</v>
      </c>
      <c r="T7" s="70" t="s">
        <v>260</v>
      </c>
      <c r="U7" s="1210"/>
      <c r="V7" s="1210"/>
      <c r="W7" s="1228"/>
      <c r="X7" s="1225"/>
      <c r="Y7" s="1225"/>
      <c r="Z7" s="1218"/>
      <c r="AA7" s="1233" t="s">
        <v>262</v>
      </c>
      <c r="AB7" s="1234"/>
      <c r="AC7" s="1237" t="s">
        <v>263</v>
      </c>
      <c r="AD7" s="1238"/>
      <c r="AE7" s="1212" t="s">
        <v>264</v>
      </c>
      <c r="AF7" s="1213"/>
      <c r="AG7" s="1235" t="s">
        <v>265</v>
      </c>
      <c r="AH7" s="1236"/>
      <c r="AI7" s="1207"/>
    </row>
    <row r="8" spans="1:36" s="71" customFormat="1" ht="29.25" customHeight="1" thickBot="1">
      <c r="A8" s="1182"/>
      <c r="B8" s="1186"/>
      <c r="C8" s="1186"/>
      <c r="D8" s="1248"/>
      <c r="E8" s="72" t="s">
        <v>266</v>
      </c>
      <c r="F8" s="73">
        <f>'FICHAS '!P36</f>
        <v>29</v>
      </c>
      <c r="G8" s="74" t="s">
        <v>267</v>
      </c>
      <c r="H8" s="75">
        <f>'FICHAS '!Q36</f>
        <v>0</v>
      </c>
      <c r="I8" s="76" t="s">
        <v>268</v>
      </c>
      <c r="J8" s="77">
        <f>+'FICHAS '!R36</f>
        <v>0</v>
      </c>
      <c r="K8" s="78" t="s">
        <v>269</v>
      </c>
      <c r="L8" s="79">
        <f>'FICHAS '!S36</f>
        <v>0</v>
      </c>
      <c r="M8" s="78" t="s">
        <v>270</v>
      </c>
      <c r="N8" s="79">
        <f>'FICHAS '!T36</f>
        <v>0</v>
      </c>
      <c r="O8" s="78" t="s">
        <v>271</v>
      </c>
      <c r="P8" s="79">
        <f>'FICHAS '!U36</f>
        <v>1</v>
      </c>
      <c r="Q8" s="78" t="s">
        <v>272</v>
      </c>
      <c r="R8" s="79">
        <f>+'FICHAS '!V36</f>
        <v>0</v>
      </c>
      <c r="S8" s="78" t="s">
        <v>273</v>
      </c>
      <c r="T8" s="79">
        <f>+'FICHAS '!W36</f>
        <v>0</v>
      </c>
      <c r="U8" s="1210"/>
      <c r="V8" s="1210"/>
      <c r="W8" s="1228"/>
      <c r="X8" s="1225"/>
      <c r="Y8" s="1225"/>
      <c r="Z8" s="1218"/>
      <c r="AA8" s="1188" t="s">
        <v>274</v>
      </c>
      <c r="AB8" s="1239" t="s">
        <v>275</v>
      </c>
      <c r="AC8" s="1230" t="s">
        <v>274</v>
      </c>
      <c r="AD8" s="1214" t="s">
        <v>276</v>
      </c>
      <c r="AE8" s="1220" t="s">
        <v>274</v>
      </c>
      <c r="AF8" s="1184" t="s">
        <v>275</v>
      </c>
      <c r="AG8" s="1223" t="s">
        <v>274</v>
      </c>
      <c r="AH8" s="1242" t="s">
        <v>275</v>
      </c>
      <c r="AI8" s="1207"/>
    </row>
    <row r="9" spans="1:36" s="71" customFormat="1" ht="29.25" customHeight="1" thickBot="1">
      <c r="A9" s="1182"/>
      <c r="B9" s="1186"/>
      <c r="C9" s="1186"/>
      <c r="D9" s="1248"/>
      <c r="E9" s="80" t="s">
        <v>277</v>
      </c>
      <c r="F9" s="81">
        <f>+'FICHAS '!BL36</f>
        <v>0</v>
      </c>
      <c r="G9" s="82" t="s">
        <v>277</v>
      </c>
      <c r="H9" s="83">
        <f>+'FICHAS '!BM36</f>
        <v>0</v>
      </c>
      <c r="I9" s="84" t="s">
        <v>277</v>
      </c>
      <c r="J9" s="85">
        <f>+'FICHAS '!BN36</f>
        <v>0</v>
      </c>
      <c r="K9" s="86" t="s">
        <v>277</v>
      </c>
      <c r="L9" s="87">
        <f>'FICHAS '!BO36</f>
        <v>0</v>
      </c>
      <c r="M9" s="86" t="s">
        <v>277</v>
      </c>
      <c r="N9" s="87">
        <f>'FICHAS '!BP36</f>
        <v>0</v>
      </c>
      <c r="O9" s="86" t="s">
        <v>277</v>
      </c>
      <c r="P9" s="87">
        <f>'FICHAS '!BQ36</f>
        <v>0</v>
      </c>
      <c r="Q9" s="86" t="s">
        <v>277</v>
      </c>
      <c r="R9" s="87">
        <f>+'FICHAS '!BR36</f>
        <v>0</v>
      </c>
      <c r="S9" s="86" t="s">
        <v>277</v>
      </c>
      <c r="T9" s="87">
        <f>+'FICHAS '!BS36</f>
        <v>0</v>
      </c>
      <c r="U9" s="1210"/>
      <c r="V9" s="1210"/>
      <c r="W9" s="1228"/>
      <c r="X9" s="1225"/>
      <c r="Y9" s="1225"/>
      <c r="Z9" s="1218"/>
      <c r="AA9" s="1189"/>
      <c r="AB9" s="1240"/>
      <c r="AC9" s="1231"/>
      <c r="AD9" s="1215"/>
      <c r="AE9" s="1221"/>
      <c r="AF9" s="1184"/>
      <c r="AG9" s="1223"/>
      <c r="AH9" s="1243"/>
      <c r="AI9" s="1207"/>
      <c r="AJ9" s="71" t="s">
        <v>278</v>
      </c>
    </row>
    <row r="10" spans="1:36" s="71" customFormat="1" ht="29.25" customHeight="1" thickBot="1">
      <c r="A10" s="1183"/>
      <c r="B10" s="1187"/>
      <c r="C10" s="1187"/>
      <c r="D10" s="1249"/>
      <c r="E10" s="653" t="s">
        <v>279</v>
      </c>
      <c r="F10" s="654">
        <f>+'FICHAS '!BL37</f>
        <v>29</v>
      </c>
      <c r="G10" s="655" t="s">
        <v>279</v>
      </c>
      <c r="H10" s="656">
        <f>+'FICHAS '!BM37</f>
        <v>0</v>
      </c>
      <c r="I10" s="657" t="s">
        <v>279</v>
      </c>
      <c r="J10" s="658">
        <f>+'FICHAS '!BN37</f>
        <v>0</v>
      </c>
      <c r="K10" s="659" t="s">
        <v>279</v>
      </c>
      <c r="L10" s="660">
        <f>'FICHAS '!BO37</f>
        <v>0</v>
      </c>
      <c r="M10" s="659" t="s">
        <v>279</v>
      </c>
      <c r="N10" s="660">
        <f>'FICHAS '!BP37</f>
        <v>0</v>
      </c>
      <c r="O10" s="659" t="s">
        <v>279</v>
      </c>
      <c r="P10" s="660">
        <f>'FICHAS '!BQ37</f>
        <v>1</v>
      </c>
      <c r="Q10" s="659" t="s">
        <v>279</v>
      </c>
      <c r="R10" s="660">
        <f>+'FICHAS '!BR37</f>
        <v>0</v>
      </c>
      <c r="S10" s="659" t="s">
        <v>279</v>
      </c>
      <c r="T10" s="660">
        <f>+'FICHAS '!BS37</f>
        <v>0</v>
      </c>
      <c r="U10" s="1211"/>
      <c r="V10" s="1211"/>
      <c r="W10" s="1229"/>
      <c r="X10" s="1226"/>
      <c r="Y10" s="1226"/>
      <c r="Z10" s="1219"/>
      <c r="AA10" s="1190"/>
      <c r="AB10" s="1241"/>
      <c r="AC10" s="1232"/>
      <c r="AD10" s="1216"/>
      <c r="AE10" s="1222"/>
      <c r="AF10" s="1184"/>
      <c r="AG10" s="1223"/>
      <c r="AH10" s="1244"/>
      <c r="AI10" s="1208"/>
    </row>
    <row r="11" spans="1:36" s="71" customFormat="1" ht="29.25" customHeight="1">
      <c r="A11" s="88"/>
      <c r="B11" s="89"/>
      <c r="C11" s="89"/>
      <c r="D11" s="90"/>
      <c r="E11" s="662" t="s">
        <v>280</v>
      </c>
      <c r="F11" s="654">
        <f>'FICHAS '!BW36</f>
        <v>29</v>
      </c>
      <c r="G11" s="663" t="s">
        <v>280</v>
      </c>
      <c r="H11" s="663">
        <f>'FICHAS '!BX36</f>
        <v>0</v>
      </c>
      <c r="I11" s="664" t="s">
        <v>280</v>
      </c>
      <c r="J11" s="664">
        <f>'FICHAS '!BY36</f>
        <v>0</v>
      </c>
      <c r="K11" s="665" t="s">
        <v>280</v>
      </c>
      <c r="L11" s="665">
        <f>'FICHAS '!BZ36</f>
        <v>0</v>
      </c>
      <c r="M11" s="665" t="s">
        <v>280</v>
      </c>
      <c r="N11" s="665">
        <f>'FICHAS '!CA36</f>
        <v>0</v>
      </c>
      <c r="O11" s="665" t="s">
        <v>280</v>
      </c>
      <c r="P11" s="665">
        <f>'FICHAS '!CB36</f>
        <v>1</v>
      </c>
      <c r="Q11" s="665" t="s">
        <v>280</v>
      </c>
      <c r="R11" s="665">
        <f>'FICHAS '!CC36</f>
        <v>0</v>
      </c>
      <c r="S11" s="665" t="s">
        <v>280</v>
      </c>
      <c r="T11" s="665">
        <f>'FICHAS '!CD36</f>
        <v>0</v>
      </c>
      <c r="U11" s="91"/>
      <c r="V11" s="92"/>
      <c r="W11" s="93"/>
      <c r="X11" s="94"/>
      <c r="Y11" s="94"/>
      <c r="Z11" s="95"/>
      <c r="AA11" s="96"/>
      <c r="AB11" s="97"/>
      <c r="AC11" s="98"/>
      <c r="AD11" s="99"/>
      <c r="AE11" s="100"/>
      <c r="AF11" s="666"/>
      <c r="AG11" s="667"/>
      <c r="AH11" s="101"/>
      <c r="AI11" s="102"/>
    </row>
    <row r="12" spans="1:36" s="71" customFormat="1" ht="29.25" customHeight="1">
      <c r="A12" s="88"/>
      <c r="B12" s="89"/>
      <c r="C12" s="668"/>
      <c r="D12" s="668"/>
      <c r="E12" s="669"/>
      <c r="F12" s="670"/>
      <c r="G12" s="669"/>
      <c r="H12" s="670"/>
      <c r="I12" s="669"/>
      <c r="J12" s="670"/>
      <c r="K12" s="669"/>
      <c r="L12" s="670"/>
      <c r="M12" s="669"/>
      <c r="N12" s="670"/>
      <c r="O12" s="669"/>
      <c r="P12" s="670"/>
      <c r="Q12" s="669"/>
      <c r="R12" s="670"/>
      <c r="S12" s="669"/>
      <c r="T12" s="670"/>
      <c r="U12" s="671"/>
      <c r="V12" s="671"/>
      <c r="W12" s="672"/>
      <c r="X12" s="672"/>
      <c r="Y12" s="672"/>
      <c r="Z12" s="672"/>
      <c r="AA12" s="673"/>
      <c r="AB12" s="661"/>
      <c r="AC12" s="673"/>
      <c r="AD12" s="661"/>
      <c r="AE12" s="673"/>
      <c r="AF12" s="661"/>
      <c r="AG12" s="674"/>
      <c r="AH12" s="661"/>
      <c r="AI12" s="675"/>
    </row>
    <row r="13" spans="1:36" s="60" customFormat="1" ht="32.25" customHeight="1">
      <c r="A13" s="103">
        <v>1</v>
      </c>
      <c r="B13" s="104" t="s">
        <v>281</v>
      </c>
      <c r="C13" s="105" t="s">
        <v>90</v>
      </c>
      <c r="D13" s="106" t="s">
        <v>91</v>
      </c>
      <c r="E13" s="107">
        <f>+(E17*0.4*0.5)+(E18*0.4*0.5)+(E45*0.4*0.5)+E24*(((PI()*(1.5)^2)/4)*1.8)+0.1+IF(F9&gt;0,(E46*0.15*0.1),0)</f>
        <v>6.5912073893458718</v>
      </c>
      <c r="F13" s="108">
        <f>+E13*$F$8</f>
        <v>191.14501429103029</v>
      </c>
      <c r="G13" s="109">
        <f>+(G17*0.4*0.5)+(G18*0.4*0.5)+G26*(((3.1416*(1.8)^2)/4)*1.8)+0.1+IF(H9&gt;0,(G45*0.15*0.1),0)</f>
        <v>5.2804528000000008</v>
      </c>
      <c r="H13" s="110">
        <f t="shared" ref="H13:H18" si="0">+G13*$H$8</f>
        <v>0</v>
      </c>
      <c r="I13" s="109">
        <f>+(I17*0.4*0.5)+(I18*0.4*0.5)+I28*(((3.1416*(1.9)^2)/4)*1.9)+0.1+IF(J9&gt;0,(I46*0.15*0.15)+IF(J9&gt;0,(#REF!*0.15*0.15)),0)</f>
        <v>6.0870585999999989</v>
      </c>
      <c r="J13" s="110">
        <f>+I13*$J$8</f>
        <v>0</v>
      </c>
      <c r="K13" s="109">
        <f>+(K17*0.4*0.5)+(K18*0.4*0.5)+K30*(((3.1416*(2.1)^2)/4)*2.2)+0.12+IF(L9&gt;0,(K46*0.15*0.15),0)</f>
        <v>8.4399508000000001</v>
      </c>
      <c r="L13" s="110">
        <f>+K13*$L$8</f>
        <v>0</v>
      </c>
      <c r="M13" s="109">
        <f>+(M17*0.4*0.5)+(M18*0.4*0.5)+M32*(((3.1416*(2.5)^2)/4)*2.3)+0.12+IF(N9&gt;0,(M46*0.15*0.15))</f>
        <v>12.110124999999996</v>
      </c>
      <c r="N13" s="110">
        <f>+M13*$N$8</f>
        <v>0</v>
      </c>
      <c r="O13" s="109">
        <f>+(O17*0.4*0.5)+(O18*0.4*0.5)+O34*(((3.1416*(2.5)^2)/4)*2.3)+0.15+IF(P9&gt;0,(O46*0.15*0.15)+IF(P9&gt;0,(#REF!*0.15*0.15)),0)</f>
        <v>22.140124999999998</v>
      </c>
      <c r="P13" s="111">
        <f>+O13*$P$8</f>
        <v>22.140124999999998</v>
      </c>
      <c r="Q13" s="110">
        <f>+(Q17*0.4*0.5)+(Q18*0.4*0.5)+Q36*(((3.1416*(2.6)^2)/4)*2.5)+0.15+IF(R9&gt;0,(Q46*0.15*0.15),0)+IF(R9&gt;0,(#REF!*0.15*0.15),0)</f>
        <v>14.12326</v>
      </c>
      <c r="R13" s="110">
        <f>+Q13*$R$8</f>
        <v>0</v>
      </c>
      <c r="S13" s="110">
        <f>+(S17*0.4*0.5)+(S18*0.4*0.5)+S38*(((3.1416*(2.8)^2)/4)*2.6)+0.15+IF(T9&gt;0,(S46*0.15*0.15),0)+IF(T9&gt;0,(#REF!*0.15*0.15),0)</f>
        <v>16.859593599999997</v>
      </c>
      <c r="T13" s="110">
        <f>+S13*$T$8</f>
        <v>0</v>
      </c>
      <c r="U13" s="110">
        <f>+F13+H13+J13+L13+N13+P13+R13+T13</f>
        <v>213.2851392910303</v>
      </c>
      <c r="V13" s="113">
        <f>+ROUND(U13,1)</f>
        <v>213.3</v>
      </c>
      <c r="W13" s="114">
        <f>'A.P.U. 2024'!F9</f>
        <v>39347.699999999997</v>
      </c>
      <c r="X13" s="114">
        <f>'A.P.U. 2024'!G9</f>
        <v>39347.699999999997</v>
      </c>
      <c r="Y13" s="115">
        <f t="shared" ref="Y13:Y47" si="1">V13*W13</f>
        <v>8392864.4100000001</v>
      </c>
      <c r="Z13" s="116">
        <f t="shared" ref="Z13:Z43" si="2">V13*X13</f>
        <v>8392864.4100000001</v>
      </c>
      <c r="AA13" s="117"/>
      <c r="AB13" s="118"/>
      <c r="AC13" s="119"/>
      <c r="AD13" s="116"/>
      <c r="AE13" s="120"/>
      <c r="AF13" s="114"/>
      <c r="AG13" s="120">
        <f>'A.P.U. 2024'!F9</f>
        <v>39347.699999999997</v>
      </c>
      <c r="AH13" s="116">
        <f>+AG13*V13</f>
        <v>8392864.4100000001</v>
      </c>
      <c r="AI13" s="867">
        <f>+AB13+AD13+AF13+AH13</f>
        <v>8392864.4100000001</v>
      </c>
    </row>
    <row r="14" spans="1:36" s="60" customFormat="1" ht="30" customHeight="1">
      <c r="A14" s="122">
        <f>+A13+1</f>
        <v>2</v>
      </c>
      <c r="B14" s="123" t="s">
        <v>282</v>
      </c>
      <c r="C14" s="124" t="s">
        <v>92</v>
      </c>
      <c r="D14" s="125" t="s">
        <v>91</v>
      </c>
      <c r="E14" s="126">
        <f>+E13*0.01</f>
        <v>6.5912073893458725E-2</v>
      </c>
      <c r="F14" s="108">
        <f>+E14*$F$8</f>
        <v>1.911450142910303</v>
      </c>
      <c r="G14" s="601">
        <f>G13*0.01</f>
        <v>5.280452800000001E-2</v>
      </c>
      <c r="H14" s="112">
        <f t="shared" si="0"/>
        <v>0</v>
      </c>
      <c r="I14" s="601">
        <f>+I13*0.01</f>
        <v>6.087058599999999E-2</v>
      </c>
      <c r="J14" s="112">
        <f>+I14*$J$8</f>
        <v>0</v>
      </c>
      <c r="K14" s="601">
        <f>+K13*0.01</f>
        <v>8.4399507999999998E-2</v>
      </c>
      <c r="L14" s="112">
        <f>+K14*$L$8</f>
        <v>0</v>
      </c>
      <c r="M14" s="601">
        <f>+M13*0.01</f>
        <v>0.12110124999999997</v>
      </c>
      <c r="N14" s="112">
        <f>+M14*$N$8</f>
        <v>0</v>
      </c>
      <c r="O14" s="601">
        <f>+O13*0.01</f>
        <v>0.22140124999999999</v>
      </c>
      <c r="P14" s="128">
        <f>+O14*$P$8</f>
        <v>0.22140124999999999</v>
      </c>
      <c r="Q14" s="602">
        <f>+Q13*0.01</f>
        <v>0.14123260000000001</v>
      </c>
      <c r="R14" s="112">
        <f>+Q14*$P$8</f>
        <v>0.14123260000000001</v>
      </c>
      <c r="S14" s="602">
        <f>+S13*0.01</f>
        <v>0.16859593599999997</v>
      </c>
      <c r="T14" s="112">
        <f>+S14*$P$8</f>
        <v>0.16859593599999997</v>
      </c>
      <c r="U14" s="112">
        <f t="shared" ref="U14:U37" si="3">+F14+H14+J14+L14+N14+P14+R14+T14</f>
        <v>2.4426799289103029</v>
      </c>
      <c r="V14" s="113">
        <f>+ROUND(U14,1)</f>
        <v>2.4</v>
      </c>
      <c r="W14" s="121">
        <f>'A.P.U. 2024'!F17</f>
        <v>185683.55000000002</v>
      </c>
      <c r="X14" s="121">
        <f>'A.P.U. 2024'!G17</f>
        <v>185683.55000000002</v>
      </c>
      <c r="Y14" s="129">
        <f t="shared" si="1"/>
        <v>445640.52</v>
      </c>
      <c r="Z14" s="130">
        <f t="shared" si="2"/>
        <v>445640.52</v>
      </c>
      <c r="AA14" s="131"/>
      <c r="AB14" s="132"/>
      <c r="AC14" s="131"/>
      <c r="AD14" s="130"/>
      <c r="AE14" s="133"/>
      <c r="AF14" s="121"/>
      <c r="AG14" s="133">
        <f>'A.P.U. 2024'!F17</f>
        <v>185683.55000000002</v>
      </c>
      <c r="AH14" s="130">
        <f>+AG14*V14</f>
        <v>445640.52</v>
      </c>
      <c r="AI14" s="868">
        <f>+AB14+AD14+AF14+AH14</f>
        <v>445640.52</v>
      </c>
    </row>
    <row r="15" spans="1:36" s="60" customFormat="1" ht="42" customHeight="1">
      <c r="A15" s="122">
        <f>+A13+1</f>
        <v>2</v>
      </c>
      <c r="B15" s="123" t="s">
        <v>283</v>
      </c>
      <c r="C15" s="124" t="s">
        <v>93</v>
      </c>
      <c r="D15" s="125" t="s">
        <v>91</v>
      </c>
      <c r="E15" s="134">
        <f>+E13-((((3.1416*(2*0.0254)^2)/4)*E17)+(((3.1416*(3*0.0254)^2)/4)*E18)+(((3.1416*(4*0.0254)^2)/4)*E45)+E24*(((3.1416*(1.2)^2)/4)*1.5)+IF(F9&gt;0,(((3.1416*(2*0.0254)^2)/4)*E45),0))</f>
        <v>4.8268619010824239</v>
      </c>
      <c r="F15" s="135">
        <f>+E15*$F$8</f>
        <v>139.97899513139029</v>
      </c>
      <c r="G15" s="127">
        <f>+G13-((((3.1416*(2*0.0254)^2)/4)*G17)+(((3.1416*(3*0.0254)^2)/4)*G18)+(((G26*(((3.1416*(1.5)^2)/4)*1.5)+IF(H9&gt;0,(((3.1416*(2*0.0254)^2)/4)*G45),0)))))</f>
        <v>2.6236472960320008</v>
      </c>
      <c r="H15" s="112">
        <f t="shared" si="0"/>
        <v>0</v>
      </c>
      <c r="I15" s="127">
        <f>+I13-((((3.1416*(2*0.0254)^2)/4)*I17)+(((3.1416*(3*0.0254)^2)/4)*I18)+I28*(((3.1416*(1.6)^2)/4)*1.6)+IF(J9&gt;0,(((3.1416*(2*0.0254)^2)/4)*I46),0))</f>
        <v>2.8639796960319979</v>
      </c>
      <c r="J15" s="135">
        <f>+I15*$J$8</f>
        <v>0</v>
      </c>
      <c r="K15" s="127">
        <f>+K13-((((3.1416*(2*0.0254)^2)/4)*K17)+(((3.1416*(3*0.0254)^2)/4)*K18)+K30*(((3.1416*(1.8)^2)/4)*1.9)+IF(L9&gt;0,(((3.1416*(2*0.0254)^2)/4)*K46),0))</f>
        <v>3.5979344787040004</v>
      </c>
      <c r="L15" s="135">
        <f>+K15*$L$8</f>
        <v>0</v>
      </c>
      <c r="M15" s="127">
        <f>+M13-((((3.1416*(2*0.0254)^2)/4)*M17)+(((3.1416*(3*0.0254)^2)/4)*M18)+M32*(((3.1416*(2)^2)/4)*2)+IF(N9&gt;0,(((3.1416*(2*0.0254)^2)/4)*M46),0))</f>
        <v>5.8198310787039969</v>
      </c>
      <c r="N15" s="135">
        <f>+M15*$N$8</f>
        <v>0</v>
      </c>
      <c r="O15" s="127">
        <f>+O13-((((3.1416*(2*0.0254)^2)/4)*O17)+(((3.1416*(3*0.0254)^2)/4)*O18)+O34*(((3.1416*(2.2)^2)/4)*2)+IF(P9&gt;0,(((3.1416*(2*0.0254)^2)/4)*O46),0))</f>
        <v>14.302340179903997</v>
      </c>
      <c r="P15" s="136">
        <f>+O15*$P$8</f>
        <v>14.302340179903997</v>
      </c>
      <c r="Q15" s="135">
        <f>+Q13-((((3.1416*(2*0.0254)^2)/4)*Q17)+(((3.1416*(3*0.0254)^2)/4)*Q18)+Q34*(((3.1416*(2.2)^2)/4)*2)+IF(R9&gt;0,(((3.1416*(2*0.0254)^2)/4)*Q46),0))</f>
        <v>14.116166078704</v>
      </c>
      <c r="R15" s="135">
        <f>+Q15*$P$8</f>
        <v>14.116166078704</v>
      </c>
      <c r="S15" s="135">
        <f>+S13-((((3.1416*(2*0.0254)^2)/4)*S17)+(((3.1416*(3*0.0254)^2)/4)*S18)+S34*(((3.1416*(2.2)^2)/4)*2)+IF(T9&gt;0,(((3.1416*(2*0.0254)^2)/4)*S46),0))</f>
        <v>16.852499678703996</v>
      </c>
      <c r="T15" s="135">
        <f>+S15*$P$8</f>
        <v>16.852499678703996</v>
      </c>
      <c r="U15" s="135">
        <f t="shared" si="3"/>
        <v>185.25000106870229</v>
      </c>
      <c r="V15" s="113">
        <f t="shared" ref="V15:V52" si="4">+ROUND(U15,1)</f>
        <v>185.3</v>
      </c>
      <c r="W15" s="121">
        <f>'A.P.U. 2024'!F23</f>
        <v>26231.800000000003</v>
      </c>
      <c r="X15" s="121">
        <f>'A.P.U. 2024'!G23</f>
        <v>26231.800000000003</v>
      </c>
      <c r="Y15" s="129">
        <f t="shared" si="1"/>
        <v>4860752.540000001</v>
      </c>
      <c r="Z15" s="130">
        <f t="shared" si="2"/>
        <v>4860752.540000001</v>
      </c>
      <c r="AA15" s="131"/>
      <c r="AB15" s="132"/>
      <c r="AC15" s="131"/>
      <c r="AD15" s="130"/>
      <c r="AE15" s="133"/>
      <c r="AF15" s="121"/>
      <c r="AG15" s="133">
        <f>'A.P.U. 2024'!F23</f>
        <v>26231.800000000003</v>
      </c>
      <c r="AH15" s="130">
        <f>+AG15*V15</f>
        <v>4860752.540000001</v>
      </c>
      <c r="AI15" s="868">
        <f>+AB15+AD15+AF15+AH15</f>
        <v>4860752.540000001</v>
      </c>
    </row>
    <row r="16" spans="1:36" s="60" customFormat="1" ht="43.5" customHeight="1">
      <c r="A16" s="122">
        <f t="shared" ref="A16:A49" si="5">+A15+1</f>
        <v>3</v>
      </c>
      <c r="B16" s="123" t="s">
        <v>284</v>
      </c>
      <c r="C16" s="124" t="s">
        <v>94</v>
      </c>
      <c r="D16" s="125" t="s">
        <v>91</v>
      </c>
      <c r="E16" s="134">
        <f>+(E13-E15)</f>
        <v>1.7643454882634479</v>
      </c>
      <c r="F16" s="135">
        <f>+E16*$F$8</f>
        <v>51.166019159639987</v>
      </c>
      <c r="G16" s="127">
        <f>+(G13-G15)</f>
        <v>2.6568055039680001</v>
      </c>
      <c r="H16" s="112">
        <f t="shared" si="0"/>
        <v>0</v>
      </c>
      <c r="I16" s="127">
        <f>+(I13-I15)</f>
        <v>3.223078903968001</v>
      </c>
      <c r="J16" s="135">
        <f>+I16*$J$8</f>
        <v>0</v>
      </c>
      <c r="K16" s="127">
        <f>+(K13-K15)</f>
        <v>4.8420163212959997</v>
      </c>
      <c r="L16" s="135">
        <f>+K16*$L$8</f>
        <v>0</v>
      </c>
      <c r="M16" s="127">
        <f>+(M13-M15)</f>
        <v>6.2902939212959996</v>
      </c>
      <c r="N16" s="135">
        <f>+M16*$N$8</f>
        <v>0</v>
      </c>
      <c r="O16" s="127">
        <f>+(O13-O15)</f>
        <v>7.837784820096001</v>
      </c>
      <c r="P16" s="136">
        <f>+O16*$P$8</f>
        <v>7.837784820096001</v>
      </c>
      <c r="Q16" s="135">
        <f>+(Q13-Q15)</f>
        <v>7.0939212960006159E-3</v>
      </c>
      <c r="R16" s="135">
        <f>+Q16*$P$8</f>
        <v>7.0939212960006159E-3</v>
      </c>
      <c r="S16" s="135">
        <f>+(S13-S15)</f>
        <v>7.0939212960006159E-3</v>
      </c>
      <c r="T16" s="135">
        <f>+S16*$P$8</f>
        <v>7.0939212960006159E-3</v>
      </c>
      <c r="U16" s="135">
        <f t="shared" si="3"/>
        <v>59.017991822328</v>
      </c>
      <c r="V16" s="113">
        <f t="shared" si="4"/>
        <v>59</v>
      </c>
      <c r="W16" s="121">
        <f>'A.P.U. 2024'!F29</f>
        <v>3147.8160000000003</v>
      </c>
      <c r="X16" s="121">
        <f>'A.P.U. 2024'!G29</f>
        <v>3147.8160000000003</v>
      </c>
      <c r="Y16" s="129">
        <f t="shared" si="1"/>
        <v>185721.14400000003</v>
      </c>
      <c r="Z16" s="130">
        <f t="shared" si="2"/>
        <v>185721.14400000003</v>
      </c>
      <c r="AA16" s="137"/>
      <c r="AB16" s="138"/>
      <c r="AC16" s="137"/>
      <c r="AD16" s="139"/>
      <c r="AE16" s="140"/>
      <c r="AF16" s="141"/>
      <c r="AG16" s="140">
        <f>'A.P.U. 2024'!G29</f>
        <v>3147.8160000000003</v>
      </c>
      <c r="AH16" s="139">
        <f>+AG16*V16</f>
        <v>185721.14400000003</v>
      </c>
      <c r="AI16" s="868">
        <f>+AB16+AD16+AF16+AH16</f>
        <v>185721.14400000003</v>
      </c>
    </row>
    <row r="17" spans="1:144" s="153" customFormat="1">
      <c r="A17" s="142">
        <f t="shared" si="5"/>
        <v>4</v>
      </c>
      <c r="B17" s="143" t="s">
        <v>285</v>
      </c>
      <c r="C17" s="144" t="s">
        <v>286</v>
      </c>
      <c r="D17" s="145" t="s">
        <v>97</v>
      </c>
      <c r="E17" s="145">
        <f>3</f>
        <v>3</v>
      </c>
      <c r="F17" s="145">
        <f>E17*$F$8+(IF(F10=0,"0",(F10*'FICHAS '!AZ37)))</f>
        <v>373</v>
      </c>
      <c r="G17" s="145">
        <v>3</v>
      </c>
      <c r="H17" s="146">
        <f t="shared" si="0"/>
        <v>0</v>
      </c>
      <c r="I17" s="145">
        <v>3</v>
      </c>
      <c r="J17" s="145">
        <f>+I17*$J$8</f>
        <v>0</v>
      </c>
      <c r="K17" s="145">
        <v>3.5</v>
      </c>
      <c r="L17" s="145">
        <f>+K17*$L$8</f>
        <v>0</v>
      </c>
      <c r="M17" s="145">
        <f>5*0.7</f>
        <v>3.5</v>
      </c>
      <c r="N17" s="145">
        <f>+M17*$N$8</f>
        <v>0</v>
      </c>
      <c r="O17" s="145">
        <f>5*0.7</f>
        <v>3.5</v>
      </c>
      <c r="P17" s="147">
        <f>+O17*$P$8+(P10*'FICHAS '!BE36)</f>
        <v>33.5</v>
      </c>
      <c r="Q17" s="145">
        <f>5*0.7</f>
        <v>3.5</v>
      </c>
      <c r="R17" s="145">
        <f>+Q17*$P$8</f>
        <v>3.5</v>
      </c>
      <c r="S17" s="145">
        <f>5*0.7</f>
        <v>3.5</v>
      </c>
      <c r="T17" s="145">
        <f>+S17*$P$8</f>
        <v>3.5</v>
      </c>
      <c r="U17" s="145">
        <f t="shared" si="3"/>
        <v>413.5</v>
      </c>
      <c r="V17" s="148">
        <f>+ROUND(U17,1)</f>
        <v>413.5</v>
      </c>
      <c r="W17" s="149">
        <f>'A.P.U. 2024'!F39</f>
        <v>36750.774549953312</v>
      </c>
      <c r="X17" s="149">
        <f>'A.P.U. 2024'!G39</f>
        <v>42804.303348622227</v>
      </c>
      <c r="Y17" s="150">
        <f t="shared" si="1"/>
        <v>15196445.276405694</v>
      </c>
      <c r="Z17" s="151">
        <f t="shared" si="2"/>
        <v>17699579.43465529</v>
      </c>
      <c r="AA17" s="152">
        <f>'A.P.U. 2024'!G32</f>
        <v>15877.575000000001</v>
      </c>
      <c r="AB17" s="152">
        <f>AA17*V17</f>
        <v>6565377.2625000002</v>
      </c>
      <c r="AC17" s="152">
        <f>'A.P.U. 2024'!G33+'A.P.U. 2024'!G35</f>
        <v>22036.6316864</v>
      </c>
      <c r="AD17" s="152">
        <f>+AC17*V17</f>
        <v>9112147.2023264002</v>
      </c>
      <c r="AE17" s="152">
        <f>+'A.P.U. 2024'!G34</f>
        <v>301.8066622222222</v>
      </c>
      <c r="AF17" s="152">
        <f>+AE17*V17</f>
        <v>124797.05482888888</v>
      </c>
      <c r="AG17" s="152">
        <f>+'A.P.U. 2024'!G36+'A.P.U. 2024'!G37</f>
        <v>4588.29</v>
      </c>
      <c r="AH17" s="152">
        <f>+AG17*V17</f>
        <v>1897257.915</v>
      </c>
      <c r="AI17" s="137">
        <f>+AB17+AD17+AF17+AH17</f>
        <v>17699579.43465529</v>
      </c>
      <c r="AJ17" s="604">
        <f>+'A.P.U. 2024'!L32</f>
        <v>2503134.1582495924</v>
      </c>
      <c r="AK17" s="605"/>
      <c r="AL17" s="604"/>
      <c r="AM17" s="766"/>
      <c r="AN17" s="766"/>
      <c r="AO17" s="766"/>
      <c r="AP17" s="766"/>
      <c r="AQ17" s="766"/>
      <c r="AR17" s="766"/>
      <c r="AS17" s="766"/>
      <c r="AT17" s="766"/>
      <c r="AU17" s="766"/>
      <c r="AV17" s="766"/>
      <c r="AW17" s="766"/>
      <c r="AX17" s="766"/>
      <c r="AY17" s="766"/>
      <c r="AZ17" s="766"/>
      <c r="BA17" s="766"/>
      <c r="BB17" s="766"/>
      <c r="BC17" s="766"/>
      <c r="BD17" s="766"/>
      <c r="BE17" s="766"/>
      <c r="BF17" s="766"/>
      <c r="BG17" s="766"/>
      <c r="BH17" s="766"/>
      <c r="BI17" s="766"/>
      <c r="BJ17" s="766"/>
      <c r="BK17" s="766"/>
      <c r="BL17" s="766"/>
      <c r="BM17" s="766"/>
      <c r="BN17" s="766"/>
      <c r="BO17" s="766"/>
      <c r="BP17" s="766"/>
      <c r="BQ17" s="766"/>
      <c r="BR17" s="766"/>
      <c r="BS17" s="766"/>
      <c r="BT17" s="766"/>
      <c r="BU17" s="766"/>
      <c r="BV17" s="766"/>
      <c r="BW17" s="766"/>
      <c r="BX17" s="766"/>
      <c r="BY17" s="766"/>
      <c r="BZ17" s="766"/>
      <c r="CA17" s="766"/>
      <c r="CB17" s="766"/>
      <c r="CC17" s="766"/>
      <c r="CD17" s="766"/>
      <c r="CE17" s="766"/>
      <c r="CF17" s="766"/>
      <c r="CG17" s="766"/>
      <c r="CH17" s="766"/>
      <c r="CI17" s="766"/>
      <c r="CJ17" s="766"/>
      <c r="CK17" s="766"/>
      <c r="CL17" s="766"/>
      <c r="CM17" s="766"/>
      <c r="CN17" s="766"/>
      <c r="CO17" s="766"/>
      <c r="CP17" s="766"/>
      <c r="CQ17" s="766"/>
      <c r="CR17" s="766"/>
      <c r="CS17" s="766"/>
      <c r="CT17" s="766"/>
      <c r="CU17" s="766"/>
      <c r="CV17" s="766"/>
      <c r="CW17" s="766"/>
      <c r="CX17" s="766"/>
      <c r="CY17" s="766"/>
      <c r="CZ17" s="766"/>
      <c r="DA17" s="766"/>
      <c r="DB17" s="766"/>
      <c r="DC17" s="766"/>
      <c r="DD17" s="766"/>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66"/>
      <c r="EH17" s="766"/>
      <c r="EI17" s="766"/>
      <c r="EJ17" s="766"/>
      <c r="EK17" s="766"/>
      <c r="EL17" s="766"/>
      <c r="EM17" s="766"/>
      <c r="EN17" s="766"/>
    </row>
    <row r="18" spans="1:144" s="169" customFormat="1" ht="28.15" customHeight="1">
      <c r="A18" s="154">
        <f>+A17+1</f>
        <v>5</v>
      </c>
      <c r="B18" s="155" t="s">
        <v>285</v>
      </c>
      <c r="C18" s="156" t="s">
        <v>287</v>
      </c>
      <c r="D18" s="157" t="s">
        <v>97</v>
      </c>
      <c r="E18" s="158">
        <f>+'FICHAS '!Y37</f>
        <v>13.551724137931034</v>
      </c>
      <c r="F18" s="159">
        <f>+E18*$F$8</f>
        <v>393</v>
      </c>
      <c r="G18" s="160">
        <f>+'FICHAS '!Z37</f>
        <v>0</v>
      </c>
      <c r="H18" s="161">
        <f t="shared" si="0"/>
        <v>0</v>
      </c>
      <c r="I18" s="160">
        <f>+'FICHAS '!AA37</f>
        <v>0</v>
      </c>
      <c r="J18" s="159">
        <f>+I18*$J$8+(1*J9)+(5*J10)</f>
        <v>0</v>
      </c>
      <c r="K18" s="160">
        <f>+'FICHAS '!AB37</f>
        <v>0</v>
      </c>
      <c r="L18" s="159">
        <f>+K18*$L$8+(1*L9)+(5*L10)</f>
        <v>0</v>
      </c>
      <c r="M18" s="160">
        <f>+'FICHAS '!AC37</f>
        <v>0</v>
      </c>
      <c r="N18" s="159">
        <f>+M18*$N$8+(1*N9)+(5*N10)</f>
        <v>0</v>
      </c>
      <c r="O18" s="160">
        <f>+'FICHAS '!AD37</f>
        <v>50</v>
      </c>
      <c r="P18" s="162">
        <f>+O18*$P$8+(1*P9)+(5*P10)</f>
        <v>55</v>
      </c>
      <c r="Q18" s="159">
        <f>+'FICHAS '!AE37</f>
        <v>0</v>
      </c>
      <c r="R18" s="159">
        <f>+Q18*$R$8+(1*R9)+(5*R10)</f>
        <v>0</v>
      </c>
      <c r="S18" s="159">
        <f>+'FICHAS '!AF37</f>
        <v>0</v>
      </c>
      <c r="T18" s="159">
        <f>+S18*$T$8+(1*T9)+(5*T10)</f>
        <v>0</v>
      </c>
      <c r="U18" s="159">
        <f t="shared" si="3"/>
        <v>448</v>
      </c>
      <c r="V18" s="163">
        <f>+ROUND(U18,1)</f>
        <v>448</v>
      </c>
      <c r="W18" s="164">
        <f>+'A.P.U. 2024'!F59</f>
        <v>32003.993457482731</v>
      </c>
      <c r="X18" s="164">
        <f>+'A.P.U. 2024'!G59</f>
        <v>36937.690073582227</v>
      </c>
      <c r="Y18" s="165">
        <f t="shared" si="1"/>
        <v>14337789.068952264</v>
      </c>
      <c r="Z18" s="166">
        <f t="shared" si="2"/>
        <v>16548085.152964838</v>
      </c>
      <c r="AA18" s="167">
        <f>+'A.P.U. 2024'!G52</f>
        <v>23715.3</v>
      </c>
      <c r="AB18" s="167">
        <f t="shared" ref="AB18:AB23" si="6">+AA18*V18</f>
        <v>10624454.4</v>
      </c>
      <c r="AC18" s="167">
        <f>+'A.P.U. 2024'!G53+'A.P.U. 2024'!G55</f>
        <v>7185.2209113600002</v>
      </c>
      <c r="AD18" s="167">
        <f t="shared" ref="AD18:AD48" si="7">+AC18*V18</f>
        <v>3218978.9682892803</v>
      </c>
      <c r="AE18" s="167">
        <f>+'A.P.U. 2024'!G54</f>
        <v>301.8066622222222</v>
      </c>
      <c r="AF18" s="167">
        <f t="shared" ref="AF18:AF46" si="8">+AE18*V18</f>
        <v>135209.38467555554</v>
      </c>
      <c r="AG18" s="167">
        <f>+'A.P.U. 2024'!G56+'A.P.U. 2024'!G57</f>
        <v>5735.3625000000002</v>
      </c>
      <c r="AH18" s="167">
        <f t="shared" ref="AH18:AH46" si="9">+AG18*V18</f>
        <v>2569442.4</v>
      </c>
      <c r="AI18" s="137">
        <f t="shared" ref="AI18:AI59" si="10">+AB18+AD18+AF18+AH18</f>
        <v>16548085.152964836</v>
      </c>
      <c r="AJ18" s="604">
        <f>+'A.P.U. 2024'!L52</f>
        <v>2210296.0840125717</v>
      </c>
      <c r="AK18" s="605"/>
      <c r="AL18" s="605"/>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row>
    <row r="19" spans="1:144" s="921" customFormat="1" ht="28.15" customHeight="1">
      <c r="A19" s="907"/>
      <c r="B19" s="908"/>
      <c r="C19" s="909" t="s">
        <v>804</v>
      </c>
      <c r="D19" s="910" t="s">
        <v>97</v>
      </c>
      <c r="E19" s="911"/>
      <c r="F19" s="912"/>
      <c r="G19" s="913">
        <v>1</v>
      </c>
      <c r="H19" s="914">
        <f t="shared" ref="H19" si="11">+G19*$H$8</f>
        <v>0</v>
      </c>
      <c r="I19" s="913">
        <v>1</v>
      </c>
      <c r="J19" s="912">
        <f>+I19*$J$8</f>
        <v>0</v>
      </c>
      <c r="K19" s="913">
        <v>1</v>
      </c>
      <c r="L19" s="912">
        <f>+K19*$L$8</f>
        <v>0</v>
      </c>
      <c r="M19" s="913">
        <v>1</v>
      </c>
      <c r="N19" s="912">
        <f>+M19*$N$8</f>
        <v>0</v>
      </c>
      <c r="O19" s="913">
        <v>1</v>
      </c>
      <c r="P19" s="915">
        <f>+O19*$P$8</f>
        <v>1</v>
      </c>
      <c r="Q19" s="912">
        <v>1</v>
      </c>
      <c r="R19" s="912">
        <f>+Q19*$R$8</f>
        <v>0</v>
      </c>
      <c r="S19" s="912">
        <v>1</v>
      </c>
      <c r="T19" s="912">
        <f>+S19*$T$8</f>
        <v>0</v>
      </c>
      <c r="U19" s="912">
        <f t="shared" si="3"/>
        <v>1</v>
      </c>
      <c r="V19" s="916">
        <f>+ROUND(U19,1)</f>
        <v>1</v>
      </c>
      <c r="W19" s="917">
        <f>+'A.P.U. 2024'!F49</f>
        <v>40102.964045718029</v>
      </c>
      <c r="X19" s="917">
        <f>+'A.P.U. 2024'!G49</f>
        <v>46575.465073582222</v>
      </c>
      <c r="Y19" s="918">
        <f t="shared" ref="Y19" si="12">V19*W19</f>
        <v>40102.964045718029</v>
      </c>
      <c r="Z19" s="919">
        <f t="shared" ref="Z19" si="13">V19*X19</f>
        <v>46575.465073582222</v>
      </c>
      <c r="AA19" s="920">
        <f>+'A.P.U. 2024'!G42</f>
        <v>33353.074999999997</v>
      </c>
      <c r="AB19" s="920">
        <f t="shared" si="6"/>
        <v>33353.074999999997</v>
      </c>
      <c r="AC19" s="920">
        <f>+'A.P.U. 2024'!G43+'A.P.U. 2024'!G45</f>
        <v>7185.2209113600002</v>
      </c>
      <c r="AD19" s="920">
        <f t="shared" ref="AD19" si="14">+AC19*V19</f>
        <v>7185.2209113600002</v>
      </c>
      <c r="AE19" s="920">
        <f>+'A.P.U. 2024'!G44</f>
        <v>301.8066622222222</v>
      </c>
      <c r="AF19" s="920">
        <f t="shared" ref="AF19" si="15">+AE19*V19</f>
        <v>301.8066622222222</v>
      </c>
      <c r="AG19" s="920">
        <f>+'A.P.U. 2024'!G46+'A.P.U. 2024'!G47</f>
        <v>5735.3625000000002</v>
      </c>
      <c r="AH19" s="920">
        <f t="shared" ref="AH19" si="16">+AG19*V19</f>
        <v>5735.3625000000002</v>
      </c>
      <c r="AI19" s="920">
        <f t="shared" ref="AI19" si="17">+AB19+AD19+AF19+AH19</f>
        <v>46575.465073582222</v>
      </c>
      <c r="AJ19" s="604">
        <f>+'A.P.U. 2024'!L42</f>
        <v>6472.501027864193</v>
      </c>
      <c r="AM19" s="922"/>
      <c r="AN19" s="922"/>
      <c r="AO19" s="922"/>
      <c r="AP19" s="922"/>
      <c r="AQ19" s="922"/>
      <c r="AR19" s="922"/>
      <c r="AS19" s="922"/>
      <c r="AT19" s="922"/>
      <c r="AU19" s="922"/>
      <c r="AV19" s="92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2"/>
      <c r="CG19" s="922"/>
      <c r="CH19" s="922"/>
      <c r="CI19" s="922"/>
      <c r="CJ19" s="922"/>
      <c r="CK19" s="922"/>
      <c r="CL19" s="922"/>
      <c r="CM19" s="922"/>
      <c r="CN19" s="922"/>
      <c r="CO19" s="922"/>
      <c r="CP19" s="922"/>
      <c r="CQ19" s="922"/>
      <c r="CR19" s="922"/>
      <c r="CS19" s="922"/>
      <c r="CT19" s="922"/>
      <c r="CU19" s="922"/>
      <c r="CV19" s="922"/>
      <c r="CW19" s="922"/>
      <c r="CX19" s="922"/>
      <c r="CY19" s="922"/>
      <c r="CZ19" s="922"/>
      <c r="DA19" s="922"/>
      <c r="DB19" s="922"/>
      <c r="DC19" s="922"/>
      <c r="DD19" s="922"/>
      <c r="DE19" s="922"/>
      <c r="DF19" s="922"/>
      <c r="DG19" s="922"/>
      <c r="DH19" s="922"/>
      <c r="DI19" s="922"/>
      <c r="DJ19" s="922"/>
      <c r="DK19" s="922"/>
      <c r="DL19" s="922"/>
      <c r="DM19" s="922"/>
      <c r="DN19" s="922"/>
      <c r="DO19" s="922"/>
      <c r="DP19" s="922"/>
      <c r="DQ19" s="922"/>
      <c r="DR19" s="922"/>
      <c r="DS19" s="922"/>
      <c r="DT19" s="922"/>
      <c r="DU19" s="922"/>
      <c r="DV19" s="922"/>
      <c r="DW19" s="922"/>
      <c r="DX19" s="922"/>
      <c r="DY19" s="922"/>
      <c r="DZ19" s="922"/>
      <c r="EA19" s="922"/>
      <c r="EB19" s="922"/>
      <c r="EC19" s="922"/>
      <c r="ED19" s="922"/>
      <c r="EE19" s="922"/>
      <c r="EF19" s="922"/>
      <c r="EG19" s="922"/>
      <c r="EH19" s="922"/>
      <c r="EI19" s="922"/>
      <c r="EJ19" s="922"/>
      <c r="EK19" s="922"/>
      <c r="EL19" s="922"/>
      <c r="EM19" s="922"/>
      <c r="EN19" s="922"/>
    </row>
    <row r="20" spans="1:144" s="169" customFormat="1" ht="28.15" customHeight="1">
      <c r="A20" s="154"/>
      <c r="B20" s="155"/>
      <c r="C20" s="156" t="s">
        <v>288</v>
      </c>
      <c r="D20" s="157" t="s">
        <v>97</v>
      </c>
      <c r="E20" s="158">
        <f>+'FICHAS '!AH37</f>
        <v>7.7931034482758621</v>
      </c>
      <c r="F20" s="159">
        <f>+E20*F$8</f>
        <v>226</v>
      </c>
      <c r="G20" s="160">
        <f>+'FICHAS '!AI37</f>
        <v>0</v>
      </c>
      <c r="H20" s="161">
        <f>+G20*H$8</f>
        <v>0</v>
      </c>
      <c r="I20" s="160">
        <f>+'FICHAS '!AJ37</f>
        <v>0</v>
      </c>
      <c r="J20" s="159">
        <f>+I20*J$8</f>
        <v>0</v>
      </c>
      <c r="K20" s="160">
        <f>+'FICHAS '!AK36</f>
        <v>0</v>
      </c>
      <c r="L20" s="159">
        <f>+K20*L$8</f>
        <v>0</v>
      </c>
      <c r="M20" s="160">
        <f>+'FICHAS '!AL36</f>
        <v>0</v>
      </c>
      <c r="N20" s="159">
        <f>+M20*N$8</f>
        <v>0</v>
      </c>
      <c r="O20" s="160">
        <f>+'FICHAS '!AM36</f>
        <v>20</v>
      </c>
      <c r="P20" s="162">
        <f>+O20*P$8</f>
        <v>20</v>
      </c>
      <c r="Q20" s="159">
        <f>+'FICHAS '!AN36</f>
        <v>0</v>
      </c>
      <c r="R20" s="159">
        <f>+Q20*R$8</f>
        <v>0</v>
      </c>
      <c r="S20" s="159">
        <f>+'FICHAS '!AO36</f>
        <v>0</v>
      </c>
      <c r="T20" s="159">
        <f>+S20*T$8</f>
        <v>0</v>
      </c>
      <c r="U20" s="159">
        <f t="shared" si="3"/>
        <v>246</v>
      </c>
      <c r="V20" s="163">
        <f>+ROUND(U20,1)</f>
        <v>246</v>
      </c>
      <c r="W20" s="164">
        <f>+'A.P.U. 2024'!F69</f>
        <v>24270.597428070963</v>
      </c>
      <c r="X20" s="164">
        <f>+'A.P.U. 2024'!G69</f>
        <v>27952.892573582223</v>
      </c>
      <c r="Y20" s="165">
        <f t="shared" ref="Y20" si="18">V20*W20</f>
        <v>5970566.9673054572</v>
      </c>
      <c r="Z20" s="166">
        <f t="shared" ref="Z20" si="19">V20*X20</f>
        <v>6876411.5731012272</v>
      </c>
      <c r="AA20" s="167">
        <f>+'A.P.U. 2024'!G62</f>
        <v>15877.575000000001</v>
      </c>
      <c r="AB20" s="167">
        <f t="shared" si="6"/>
        <v>3905883.45</v>
      </c>
      <c r="AC20" s="167">
        <f>+'A.P.U. 2024'!G63+'A.P.U. 2024'!G65</f>
        <v>7185.2209113600002</v>
      </c>
      <c r="AD20" s="167">
        <f t="shared" si="7"/>
        <v>1767564.3441945601</v>
      </c>
      <c r="AE20" s="167">
        <f>+'A.P.U. 2024'!G64</f>
        <v>301.8066622222222</v>
      </c>
      <c r="AF20" s="167">
        <f t="shared" si="8"/>
        <v>74244.438906666663</v>
      </c>
      <c r="AG20" s="167">
        <f>+'A.P.U. 2024'!G66+'A.P.U. 2024'!G67</f>
        <v>4588.29</v>
      </c>
      <c r="AH20" s="167">
        <f t="shared" si="9"/>
        <v>1128719.3400000001</v>
      </c>
      <c r="AI20" s="137">
        <f t="shared" si="10"/>
        <v>6876411.5731012272</v>
      </c>
      <c r="AJ20" s="604">
        <f>+'A.P.U. 2024'!L62</f>
        <v>905844.60579576995</v>
      </c>
      <c r="AK20" s="605"/>
      <c r="AL20" s="605"/>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row>
    <row r="21" spans="1:144" s="184" customFormat="1" ht="45" customHeight="1">
      <c r="A21" s="170" t="e">
        <f>+#REF!+1</f>
        <v>#REF!</v>
      </c>
      <c r="B21" s="171" t="s">
        <v>289</v>
      </c>
      <c r="C21" s="172" t="s">
        <v>860</v>
      </c>
      <c r="D21" s="173" t="s">
        <v>100</v>
      </c>
      <c r="E21" s="174">
        <f>1</f>
        <v>1</v>
      </c>
      <c r="F21" s="175">
        <f>+E21*$F$8</f>
        <v>29</v>
      </c>
      <c r="G21" s="176"/>
      <c r="H21" s="175">
        <f>+G21*$H$8</f>
        <v>0</v>
      </c>
      <c r="I21" s="176"/>
      <c r="J21" s="175">
        <f>+I21*$J$8</f>
        <v>0</v>
      </c>
      <c r="K21" s="176"/>
      <c r="L21" s="175">
        <f>K21*$L$8</f>
        <v>0</v>
      </c>
      <c r="M21" s="176"/>
      <c r="N21" s="175">
        <f>+M21*$N$8</f>
        <v>0</v>
      </c>
      <c r="O21" s="176"/>
      <c r="P21" s="177">
        <f>+O21*$P$8</f>
        <v>0</v>
      </c>
      <c r="Q21" s="175"/>
      <c r="R21" s="175">
        <f>+Q21*$R$8</f>
        <v>0</v>
      </c>
      <c r="S21" s="175"/>
      <c r="T21" s="175">
        <f>+S21*$R$8</f>
        <v>0</v>
      </c>
      <c r="U21" s="175">
        <f t="shared" si="3"/>
        <v>29</v>
      </c>
      <c r="V21" s="178">
        <f t="shared" si="4"/>
        <v>29</v>
      </c>
      <c r="W21" s="179">
        <f>+'A.P.U. 2024'!F80</f>
        <v>45044.672731559294</v>
      </c>
      <c r="X21" s="179">
        <f>+'A.P.U. 2024'!G80</f>
        <v>51454.538277777778</v>
      </c>
      <c r="Y21" s="180">
        <f t="shared" si="1"/>
        <v>1306295.5092152196</v>
      </c>
      <c r="Z21" s="181">
        <f t="shared" si="2"/>
        <v>1492181.6100555556</v>
      </c>
      <c r="AA21" s="182">
        <f>+'A.P.U. 2024'!G72</f>
        <v>13459</v>
      </c>
      <c r="AB21" s="183">
        <f t="shared" si="6"/>
        <v>390311</v>
      </c>
      <c r="AC21" s="182">
        <f>+'A.P.U. 2024'!G73+'A.P.U. 2024'!G74+'A.P.U. 2024'!G75</f>
        <v>26687</v>
      </c>
      <c r="AD21" s="181">
        <f t="shared" si="7"/>
        <v>773923</v>
      </c>
      <c r="AE21" s="180">
        <f>+'A.P.U. 2024'!G76</f>
        <v>3772.5832777777773</v>
      </c>
      <c r="AF21" s="179">
        <f t="shared" si="8"/>
        <v>109404.91505555554</v>
      </c>
      <c r="AG21" s="180">
        <f>+'A.P.U. 2024'!G77+'A.P.U. 2024'!G78</f>
        <v>7535.9549999999999</v>
      </c>
      <c r="AH21" s="180">
        <f t="shared" si="9"/>
        <v>218542.69500000001</v>
      </c>
      <c r="AI21" s="647">
        <f t="shared" si="10"/>
        <v>1492181.6100555556</v>
      </c>
      <c r="AJ21" s="604">
        <f>+'A.P.U. 2024'!L72</f>
        <v>185886.10084033606</v>
      </c>
      <c r="AK21" s="605"/>
      <c r="AL21" s="604"/>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66"/>
      <c r="CR21" s="766"/>
      <c r="CS21" s="766"/>
      <c r="CT21" s="766"/>
      <c r="CU21" s="766"/>
      <c r="CV21" s="766"/>
      <c r="CW21" s="766"/>
      <c r="CX21" s="766"/>
      <c r="CY21" s="766"/>
      <c r="CZ21" s="766"/>
      <c r="DA21" s="766"/>
      <c r="DB21" s="766"/>
      <c r="DC21" s="766"/>
      <c r="DD21" s="766"/>
      <c r="DE21" s="766"/>
      <c r="DF21" s="766"/>
      <c r="DG21" s="766"/>
      <c r="DH21" s="766"/>
      <c r="DI21" s="766"/>
      <c r="DJ21" s="766"/>
      <c r="DK21" s="766"/>
      <c r="DL21" s="766"/>
      <c r="DM21" s="766"/>
      <c r="DN21" s="766"/>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row>
    <row r="22" spans="1:144" s="184" customFormat="1" ht="45" customHeight="1">
      <c r="A22" s="170"/>
      <c r="B22" s="171"/>
      <c r="C22" s="172" t="s">
        <v>859</v>
      </c>
      <c r="D22" s="173" t="s">
        <v>100</v>
      </c>
      <c r="E22" s="174">
        <f>1</f>
        <v>1</v>
      </c>
      <c r="F22" s="175">
        <f>+E22*$F$11</f>
        <v>29</v>
      </c>
      <c r="G22" s="176">
        <v>1</v>
      </c>
      <c r="H22" s="175">
        <f>+G22*$H$11</f>
        <v>0</v>
      </c>
      <c r="I22" s="176">
        <v>1</v>
      </c>
      <c r="J22" s="175">
        <f>+I22*$J$11</f>
        <v>0</v>
      </c>
      <c r="K22" s="176">
        <v>1</v>
      </c>
      <c r="L22" s="175">
        <f>K22*$L$11</f>
        <v>0</v>
      </c>
      <c r="M22" s="176">
        <v>1</v>
      </c>
      <c r="N22" s="175">
        <f>+M22*$N$11</f>
        <v>0</v>
      </c>
      <c r="O22" s="176">
        <v>1</v>
      </c>
      <c r="P22" s="177">
        <f>+O22*$P$11</f>
        <v>1</v>
      </c>
      <c r="Q22" s="175">
        <v>1</v>
      </c>
      <c r="R22" s="175">
        <f>+Q22*$R$8</f>
        <v>0</v>
      </c>
      <c r="S22" s="175">
        <v>1</v>
      </c>
      <c r="T22" s="175">
        <f>+S22*$T$11</f>
        <v>0</v>
      </c>
      <c r="U22" s="175">
        <f t="shared" ref="U22" si="20">+F22+H22+J22+L22+N22+P22+R22+T22</f>
        <v>30</v>
      </c>
      <c r="V22" s="178">
        <f t="shared" ref="V22" si="21">+ROUND(U22,1)</f>
        <v>30</v>
      </c>
      <c r="W22" s="179">
        <f>+'A.P.U. 2024'!F80</f>
        <v>45044.672731559294</v>
      </c>
      <c r="X22" s="179">
        <f>+'A.P.U. 2024'!G80</f>
        <v>51454.538277777778</v>
      </c>
      <c r="Y22" s="180">
        <f t="shared" ref="Y22" si="22">V22*W22</f>
        <v>1351340.1819467789</v>
      </c>
      <c r="Z22" s="181">
        <f t="shared" ref="Z22" si="23">V22*X22</f>
        <v>1543636.1483333334</v>
      </c>
      <c r="AA22" s="182">
        <f>+'A.P.U. 2024'!G72</f>
        <v>13459</v>
      </c>
      <c r="AB22" s="183">
        <f t="shared" si="6"/>
        <v>403770</v>
      </c>
      <c r="AC22" s="182">
        <f>+'A.P.U. 2024'!G73+'A.P.U. 2024'!G74+'A.P.U. 2024'!G75</f>
        <v>26687</v>
      </c>
      <c r="AD22" s="181">
        <f t="shared" ref="AD22" si="24">+AC22*V22</f>
        <v>800610</v>
      </c>
      <c r="AE22" s="180">
        <f>+'A.P.U. 2024'!G76</f>
        <v>3772.5832777777773</v>
      </c>
      <c r="AF22" s="179">
        <f t="shared" ref="AF22" si="25">+AE22*V22</f>
        <v>113177.49833333332</v>
      </c>
      <c r="AG22" s="180">
        <f>+'A.P.U. 2024'!G77+'A.P.U. 2024'!G78</f>
        <v>7535.9549999999999</v>
      </c>
      <c r="AH22" s="180">
        <f t="shared" ref="AH22" si="26">+AG22*V22</f>
        <v>226078.65</v>
      </c>
      <c r="AI22" s="647">
        <f t="shared" ref="AI22" si="27">+AB22+AD22+AF22+AH22</f>
        <v>1543636.1483333332</v>
      </c>
      <c r="AJ22" s="604">
        <f>+'A.P.U. 2024'!L72</f>
        <v>185886.10084033606</v>
      </c>
      <c r="AK22" s="605"/>
      <c r="AL22" s="604"/>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766"/>
      <c r="CB22" s="766"/>
      <c r="CC22" s="766"/>
      <c r="CD22" s="766"/>
      <c r="CE22" s="766"/>
      <c r="CF22" s="766"/>
      <c r="CG22" s="766"/>
      <c r="CH22" s="766"/>
      <c r="CI22" s="766"/>
      <c r="CJ22" s="766"/>
      <c r="CK22" s="766"/>
      <c r="CL22" s="766"/>
      <c r="CM22" s="766"/>
      <c r="CN22" s="766"/>
      <c r="CO22" s="766"/>
      <c r="CP22" s="766"/>
      <c r="CQ22" s="766"/>
      <c r="CR22" s="766"/>
      <c r="CS22" s="766"/>
      <c r="CT22" s="766"/>
      <c r="CU22" s="766"/>
      <c r="CV22" s="766"/>
      <c r="CW22" s="766"/>
      <c r="CX22" s="766"/>
      <c r="CY22" s="766"/>
      <c r="CZ22" s="766"/>
      <c r="DA22" s="766"/>
      <c r="DB22" s="766"/>
      <c r="DC22" s="766"/>
      <c r="DD22" s="766"/>
      <c r="DE22" s="766"/>
      <c r="DF22" s="766"/>
      <c r="DG22" s="766"/>
      <c r="DH22" s="766"/>
      <c r="DI22" s="766"/>
      <c r="DJ22" s="766"/>
      <c r="DK22" s="766"/>
      <c r="DL22" s="766"/>
      <c r="DM22" s="766"/>
      <c r="DN22" s="766"/>
      <c r="DO22" s="766"/>
      <c r="DP22" s="766"/>
      <c r="DQ22" s="766"/>
      <c r="DR22" s="766"/>
      <c r="DS22" s="766"/>
      <c r="DT22" s="766"/>
      <c r="DU22" s="766"/>
      <c r="DV22" s="766"/>
      <c r="DW22" s="766"/>
      <c r="DX22" s="766"/>
      <c r="DY22" s="766"/>
      <c r="DZ22" s="766"/>
      <c r="EA22" s="766"/>
      <c r="EB22" s="766"/>
      <c r="EC22" s="766"/>
      <c r="ED22" s="766"/>
      <c r="EE22" s="766"/>
      <c r="EF22" s="766"/>
      <c r="EG22" s="766"/>
      <c r="EH22" s="766"/>
      <c r="EI22" s="766"/>
      <c r="EJ22" s="766"/>
      <c r="EK22" s="766"/>
      <c r="EL22" s="766"/>
      <c r="EM22" s="766"/>
      <c r="EN22" s="766"/>
    </row>
    <row r="23" spans="1:144" s="198" customFormat="1" ht="28.5" customHeight="1">
      <c r="A23" s="185" t="e">
        <f>+A21+1</f>
        <v>#REF!</v>
      </c>
      <c r="B23" s="186" t="s">
        <v>289</v>
      </c>
      <c r="C23" s="187" t="s">
        <v>290</v>
      </c>
      <c r="D23" s="188" t="s">
        <v>100</v>
      </c>
      <c r="E23" s="189"/>
      <c r="F23" s="190"/>
      <c r="G23" s="191">
        <v>1</v>
      </c>
      <c r="H23" s="190">
        <f>+G23*$H$8</f>
        <v>0</v>
      </c>
      <c r="I23" s="191">
        <v>1</v>
      </c>
      <c r="J23" s="190">
        <f>+I23*$J$8</f>
        <v>0</v>
      </c>
      <c r="K23" s="191">
        <v>1</v>
      </c>
      <c r="L23" s="190">
        <f>+K23*$L$8</f>
        <v>0</v>
      </c>
      <c r="M23" s="191">
        <v>1</v>
      </c>
      <c r="N23" s="190">
        <f>+M23*$N$8</f>
        <v>0</v>
      </c>
      <c r="O23" s="191">
        <v>1</v>
      </c>
      <c r="P23" s="192">
        <f>+O23*$P$8</f>
        <v>1</v>
      </c>
      <c r="Q23" s="190">
        <v>1</v>
      </c>
      <c r="R23" s="190">
        <f>+Q23*$R$8</f>
        <v>0</v>
      </c>
      <c r="S23" s="190">
        <v>1</v>
      </c>
      <c r="T23" s="190">
        <f>+S23*$R$8</f>
        <v>0</v>
      </c>
      <c r="U23" s="190">
        <f t="shared" si="3"/>
        <v>1</v>
      </c>
      <c r="V23" s="193">
        <f t="shared" si="4"/>
        <v>1</v>
      </c>
      <c r="W23" s="194">
        <f>+'A.P.U. 2024'!F91</f>
        <v>78908.723305944586</v>
      </c>
      <c r="X23" s="194">
        <f>+'A.P.U. 2024'!G91</f>
        <v>91036.551037037018</v>
      </c>
      <c r="Y23" s="195">
        <f t="shared" si="1"/>
        <v>78908.723305944586</v>
      </c>
      <c r="Z23" s="196">
        <f t="shared" si="2"/>
        <v>91036.551037037018</v>
      </c>
      <c r="AA23" s="197">
        <f>+'A.P.U. 2024'!G83</f>
        <v>29417</v>
      </c>
      <c r="AB23" s="197">
        <f t="shared" si="6"/>
        <v>29417</v>
      </c>
      <c r="AC23" s="197">
        <f>+'A.P.U. 2024'!G84+'A.P.U. 2024'!G85+'A.P.U. 2024'!G86</f>
        <v>46541.5</v>
      </c>
      <c r="AD23" s="196">
        <f t="shared" si="7"/>
        <v>46541.5</v>
      </c>
      <c r="AE23" s="195">
        <f>+'A.P.U. 2024'!G87</f>
        <v>5030.1110370370361</v>
      </c>
      <c r="AF23" s="194">
        <f t="shared" si="8"/>
        <v>5030.1110370370361</v>
      </c>
      <c r="AG23" s="195">
        <f>+'A.P.U. 2024'!G88+'A.P.U. 2024'!G89</f>
        <v>10047.94</v>
      </c>
      <c r="AH23" s="180">
        <f t="shared" si="9"/>
        <v>10047.94</v>
      </c>
      <c r="AI23" s="647">
        <f t="shared" si="10"/>
        <v>91036.551037037032</v>
      </c>
      <c r="AJ23" s="604">
        <f>+'A.P.U. 2024'!L83</f>
        <v>12127.827731092431</v>
      </c>
      <c r="AK23" s="605"/>
      <c r="AL23" s="605"/>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row>
    <row r="24" spans="1:144" s="184" customFormat="1" ht="109.5" customHeight="1">
      <c r="A24" s="170" t="e">
        <f t="shared" si="5"/>
        <v>#REF!</v>
      </c>
      <c r="B24" s="171" t="s">
        <v>289</v>
      </c>
      <c r="C24" s="172" t="str">
        <f>+'A.P.U. 2024'!A94</f>
        <v>sistema séptico y FAFA prefabricado en P.R.F.V (Poliéster Reforzado Con Fibra De Vidrio) con capacidad para atender una población entre tres a nueve (3 a 9) habitantes, (incluye: accesorios internos, material filtrante para el FAFA que garanticen un área superficial de contacto ≥ 90m2/m3, tubería de PVC-S ø2" con accesorios y malla mosquitera doble. Volumen de 1,500-1,800 litros.</v>
      </c>
      <c r="D24" s="173" t="s">
        <v>100</v>
      </c>
      <c r="E24" s="174">
        <v>1</v>
      </c>
      <c r="F24" s="175">
        <f>+F8*E24</f>
        <v>29</v>
      </c>
      <c r="G24" s="175"/>
      <c r="H24" s="175"/>
      <c r="I24" s="175"/>
      <c r="J24" s="175"/>
      <c r="K24" s="175"/>
      <c r="L24" s="175"/>
      <c r="M24" s="175"/>
      <c r="N24" s="175"/>
      <c r="O24" s="175"/>
      <c r="P24" s="177"/>
      <c r="Q24" s="175"/>
      <c r="R24" s="175"/>
      <c r="S24" s="175"/>
      <c r="T24" s="175"/>
      <c r="U24" s="175">
        <f t="shared" si="3"/>
        <v>29</v>
      </c>
      <c r="V24" s="178">
        <f t="shared" si="4"/>
        <v>29</v>
      </c>
      <c r="W24" s="179">
        <f>+'A.P.U. 2024'!F104</f>
        <v>3879624.6736491499</v>
      </c>
      <c r="X24" s="179">
        <f>+'A.P.U. 2024'!G104</f>
        <v>4468517.0112730302</v>
      </c>
      <c r="Y24" s="180">
        <f t="shared" si="1"/>
        <v>112509115.53582534</v>
      </c>
      <c r="Z24" s="181">
        <f>V24*X24</f>
        <v>129586993.32691787</v>
      </c>
      <c r="AA24" s="182">
        <f>+'A.P.U. 2024'!G94</f>
        <v>3661143.1935390402</v>
      </c>
      <c r="AB24" s="183">
        <f t="shared" ref="AB24:AB48" si="28">+AA24*V24</f>
        <v>106173152.61263217</v>
      </c>
      <c r="AC24" s="182">
        <f>+'A.P.U. 2024'!G97+'A.P.U. 2024'!G95</f>
        <v>27182.5</v>
      </c>
      <c r="AD24" s="181">
        <f t="shared" si="7"/>
        <v>788292.5</v>
      </c>
      <c r="AE24" s="180">
        <f>+'A.P.U. 2024'!G99</f>
        <v>266674.81773399014</v>
      </c>
      <c r="AF24" s="179">
        <f t="shared" si="8"/>
        <v>7733569.7142857146</v>
      </c>
      <c r="AG24" s="180">
        <f>+'A.P.U. 2024'!G101+'A.P.U. 2024'!G102</f>
        <v>513516.50000000006</v>
      </c>
      <c r="AH24" s="180">
        <f t="shared" si="9"/>
        <v>14891978.500000002</v>
      </c>
      <c r="AI24" s="647">
        <f t="shared" si="10"/>
        <v>129586993.32691789</v>
      </c>
      <c r="AJ24" s="604">
        <f>+'A.P.U. 2024'!L94</f>
        <v>17077877.79109253</v>
      </c>
      <c r="AK24" s="605"/>
      <c r="AL24" s="605"/>
      <c r="AM24" s="766"/>
      <c r="AN24" s="766"/>
      <c r="AO24" s="766"/>
      <c r="AP24" s="766"/>
      <c r="AQ24" s="766"/>
      <c r="AR24" s="766"/>
      <c r="AS24" s="766"/>
      <c r="AT24" s="766"/>
      <c r="AU24" s="766"/>
      <c r="AV24" s="766"/>
      <c r="AW24" s="766"/>
      <c r="AX24" s="766"/>
      <c r="AY24" s="766"/>
      <c r="AZ24" s="766"/>
      <c r="BA24" s="766"/>
      <c r="BB24" s="766"/>
      <c r="BC24" s="766"/>
      <c r="BD24" s="766"/>
      <c r="BE24" s="766"/>
      <c r="BF24" s="766"/>
      <c r="BG24" s="766"/>
      <c r="BH24" s="766"/>
      <c r="BI24" s="766"/>
      <c r="BJ24" s="766"/>
      <c r="BK24" s="766"/>
      <c r="BL24" s="766"/>
      <c r="BM24" s="766"/>
      <c r="BN24" s="766"/>
      <c r="BO24" s="766"/>
      <c r="BP24" s="766"/>
      <c r="BQ24" s="766"/>
      <c r="BR24" s="766"/>
      <c r="BS24" s="766"/>
      <c r="BT24" s="766"/>
      <c r="BU24" s="766"/>
      <c r="BV24" s="766"/>
      <c r="BW24" s="766"/>
      <c r="BX24" s="766"/>
      <c r="BY24" s="766"/>
      <c r="BZ24" s="766"/>
      <c r="CA24" s="766"/>
      <c r="CB24" s="766"/>
      <c r="CC24" s="766"/>
      <c r="CD24" s="766"/>
      <c r="CE24" s="766"/>
      <c r="CF24" s="766"/>
      <c r="CG24" s="766"/>
      <c r="CH24" s="766"/>
      <c r="CI24" s="766"/>
      <c r="CJ24" s="766"/>
      <c r="CK24" s="766"/>
      <c r="CL24" s="766"/>
      <c r="CM24" s="766"/>
      <c r="CN24" s="766"/>
      <c r="CO24" s="766"/>
      <c r="CP24" s="766"/>
      <c r="CQ24" s="766"/>
      <c r="CR24" s="766"/>
      <c r="CS24" s="766"/>
      <c r="CT24" s="766"/>
      <c r="CU24" s="766"/>
      <c r="CV24" s="766"/>
      <c r="CW24" s="766"/>
      <c r="CX24" s="766"/>
      <c r="CY24" s="766"/>
      <c r="CZ24" s="766"/>
      <c r="DA24" s="766"/>
      <c r="DB24" s="766"/>
      <c r="DC24" s="766"/>
      <c r="DD24" s="766"/>
      <c r="DE24" s="766"/>
      <c r="DF24" s="766"/>
      <c r="DG24" s="766"/>
      <c r="DH24" s="766"/>
      <c r="DI24" s="766"/>
      <c r="DJ24" s="766"/>
      <c r="DK24" s="766"/>
      <c r="DL24" s="766"/>
      <c r="DM24" s="766"/>
      <c r="DN24" s="766"/>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row>
    <row r="25" spans="1:144" s="184" customFormat="1" ht="109.5" customHeight="1">
      <c r="A25" s="170"/>
      <c r="B25" s="171"/>
      <c r="C25" s="172" t="s">
        <v>291</v>
      </c>
      <c r="D25" s="173" t="s">
        <v>100</v>
      </c>
      <c r="E25" s="174">
        <v>1</v>
      </c>
      <c r="F25" s="175">
        <f>F11*E25</f>
        <v>29</v>
      </c>
      <c r="G25" s="175"/>
      <c r="H25" s="175"/>
      <c r="I25" s="175"/>
      <c r="J25" s="175"/>
      <c r="K25" s="175"/>
      <c r="L25" s="175"/>
      <c r="M25" s="175"/>
      <c r="N25" s="175"/>
      <c r="O25" s="175"/>
      <c r="P25" s="177"/>
      <c r="Q25" s="175"/>
      <c r="R25" s="175"/>
      <c r="S25" s="175"/>
      <c r="T25" s="175"/>
      <c r="U25" s="175">
        <f>+F25+H25+J25+L25+N25+P25+R25+T25</f>
        <v>29</v>
      </c>
      <c r="V25" s="178">
        <f t="shared" ref="V25" si="29">+ROUND(U25,1)</f>
        <v>29</v>
      </c>
      <c r="W25" s="179">
        <f>'A.P.U. 2024'!F116</f>
        <v>960087.09689797135</v>
      </c>
      <c r="X25" s="179">
        <f>'A.P.U. 2024'!G116</f>
        <v>1070842.0649863638</v>
      </c>
      <c r="Y25" s="180">
        <f t="shared" ref="Y25" si="30">V25*W25</f>
        <v>27842525.810041171</v>
      </c>
      <c r="Z25" s="181">
        <f>V25*X25</f>
        <v>31054419.884604547</v>
      </c>
      <c r="AA25" s="182">
        <f>'A.P.U. 2024'!G107</f>
        <v>682582.85276414151</v>
      </c>
      <c r="AB25" s="183">
        <f t="shared" si="28"/>
        <v>19794902.730160102</v>
      </c>
      <c r="AC25" s="182">
        <f>'A.P.U. 2024'!G109+'A.P.U. 2024'!G110</f>
        <v>11093</v>
      </c>
      <c r="AD25" s="181">
        <f t="shared" si="7"/>
        <v>321697</v>
      </c>
      <c r="AE25" s="180">
        <f>'A.P.U. 2024'!G111</f>
        <v>301806.66222222219</v>
      </c>
      <c r="AF25" s="179">
        <f t="shared" si="8"/>
        <v>8752393.2044444438</v>
      </c>
      <c r="AG25" s="180">
        <f>'A.P.U. 2024'!F115</f>
        <v>75359.55</v>
      </c>
      <c r="AH25" s="180">
        <f t="shared" si="9"/>
        <v>2185426.9500000002</v>
      </c>
      <c r="AI25" s="647">
        <f t="shared" si="10"/>
        <v>31054419.884604547</v>
      </c>
      <c r="AJ25" s="604">
        <f>'A.P.U. 2024'!L112</f>
        <v>3211894.0745633766</v>
      </c>
      <c r="AK25" s="605"/>
      <c r="AL25" s="605"/>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6"/>
      <c r="BT25" s="766"/>
      <c r="BU25" s="766"/>
      <c r="BV25" s="766"/>
      <c r="BW25" s="766"/>
      <c r="BX25" s="766"/>
      <c r="BY25" s="766"/>
      <c r="BZ25" s="766"/>
      <c r="CA25" s="766"/>
      <c r="CB25" s="766"/>
      <c r="CC25" s="766"/>
      <c r="CD25" s="766"/>
      <c r="CE25" s="766"/>
      <c r="CF25" s="766"/>
      <c r="CG25" s="766"/>
      <c r="CH25" s="766"/>
      <c r="CI25" s="766"/>
      <c r="CJ25" s="766"/>
      <c r="CK25" s="766"/>
      <c r="CL25" s="766"/>
      <c r="CM25" s="766"/>
      <c r="CN25" s="766"/>
      <c r="CO25" s="766"/>
      <c r="CP25" s="766"/>
      <c r="CQ25" s="766"/>
      <c r="CR25" s="766"/>
      <c r="CS25" s="766"/>
      <c r="CT25" s="766"/>
      <c r="CU25" s="766"/>
      <c r="CV25" s="766"/>
      <c r="CW25" s="766"/>
      <c r="CX25" s="766"/>
      <c r="CY25" s="766"/>
      <c r="CZ25" s="766"/>
      <c r="DA25" s="766"/>
      <c r="DB25" s="766"/>
      <c r="DC25" s="766"/>
      <c r="DD25" s="766"/>
      <c r="DE25" s="766"/>
      <c r="DF25" s="766"/>
      <c r="DG25" s="766"/>
      <c r="DH25" s="766"/>
      <c r="DI25" s="766"/>
      <c r="DJ25" s="766"/>
      <c r="DK25" s="766"/>
      <c r="DL25" s="766"/>
      <c r="DM25" s="766"/>
      <c r="DN25" s="766"/>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6"/>
      <c r="EN25" s="766"/>
    </row>
    <row r="26" spans="1:144" s="184" customFormat="1" ht="99.75">
      <c r="A26" s="170" t="e">
        <f>+A24+1</f>
        <v>#REF!</v>
      </c>
      <c r="B26" s="171" t="s">
        <v>289</v>
      </c>
      <c r="C26" s="199" t="str">
        <f>+'A.P.U. 2024'!A119</f>
        <v>sistema séptico y FAFA prefabricado en P.R.F.V (Poliéster Reforzado Con Fibra De Vidrio) con capacidad para atender una población de diez a quince (10 a 15) habitantes, (incluye: accesorios internos, material filtrante para el FAFA que garanticen un área superficial de contacto ≥ 90m2/m3, tubería de PVC-S ø2" con accesorios y malla mosquitera doble. Volumen de 2,300-2,500 litros.</v>
      </c>
      <c r="D26" s="173" t="s">
        <v>100</v>
      </c>
      <c r="E26" s="174"/>
      <c r="F26" s="176"/>
      <c r="G26" s="176">
        <v>1</v>
      </c>
      <c r="H26" s="176">
        <f>+G26*$H$8</f>
        <v>0</v>
      </c>
      <c r="I26" s="176"/>
      <c r="J26" s="176"/>
      <c r="K26" s="176"/>
      <c r="L26" s="176"/>
      <c r="M26" s="176"/>
      <c r="N26" s="176"/>
      <c r="O26" s="176"/>
      <c r="P26" s="200"/>
      <c r="Q26" s="176"/>
      <c r="R26" s="176"/>
      <c r="S26" s="176"/>
      <c r="T26" s="176"/>
      <c r="U26" s="176">
        <f t="shared" si="3"/>
        <v>0</v>
      </c>
      <c r="V26" s="178">
        <f t="shared" si="4"/>
        <v>0</v>
      </c>
      <c r="W26" s="179">
        <f>+'A.P.U. 2024'!F129</f>
        <v>4677322.5762778381</v>
      </c>
      <c r="X26" s="179">
        <f>+'A.P.U. 2024'!G129</f>
        <v>5468445.730770627</v>
      </c>
      <c r="Y26" s="180">
        <f t="shared" si="1"/>
        <v>0</v>
      </c>
      <c r="Z26" s="181">
        <f t="shared" si="2"/>
        <v>0</v>
      </c>
      <c r="AA26" s="182">
        <f>+'A.P.U. 2024'!G119</f>
        <v>4939807.730770627</v>
      </c>
      <c r="AB26" s="183">
        <f t="shared" si="28"/>
        <v>0</v>
      </c>
      <c r="AC26" s="182">
        <f>+'A.P.U. 2024'!G122+'A.P.U. 2024'!G120</f>
        <v>15121.5</v>
      </c>
      <c r="AD26" s="181">
        <f t="shared" si="7"/>
        <v>0</v>
      </c>
      <c r="AE26" s="180">
        <f>+'A.P.U. 2024'!G124</f>
        <v>0</v>
      </c>
      <c r="AF26" s="179">
        <f t="shared" si="8"/>
        <v>0</v>
      </c>
      <c r="AG26" s="180">
        <f>+'A.P.U. 2024'!G126+'A.P.U. 2024'!G127</f>
        <v>513516.50000000006</v>
      </c>
      <c r="AH26" s="180">
        <f t="shared" si="9"/>
        <v>0</v>
      </c>
      <c r="AI26" s="647">
        <f t="shared" si="10"/>
        <v>0</v>
      </c>
      <c r="AJ26" s="604">
        <f>+'A.P.U. 2024'!L119</f>
        <v>0</v>
      </c>
      <c r="AK26" s="605"/>
      <c r="AL26" s="605"/>
      <c r="AM26" s="766"/>
      <c r="AN26" s="766"/>
      <c r="AO26" s="766"/>
      <c r="AP26" s="766"/>
      <c r="AQ26" s="766"/>
      <c r="AR26" s="766"/>
      <c r="AS26" s="766"/>
      <c r="AT26" s="766"/>
      <c r="AU26" s="766"/>
      <c r="AV26" s="766"/>
      <c r="AW26" s="766"/>
      <c r="AX26" s="766"/>
      <c r="AY26" s="766"/>
      <c r="AZ26" s="766"/>
      <c r="BA26" s="766"/>
      <c r="BB26" s="766"/>
      <c r="BC26" s="766"/>
      <c r="BD26" s="766"/>
      <c r="BE26" s="766"/>
      <c r="BF26" s="766"/>
      <c r="BG26" s="766"/>
      <c r="BH26" s="766"/>
      <c r="BI26" s="766"/>
      <c r="BJ26" s="766"/>
      <c r="BK26" s="766"/>
      <c r="BL26" s="766"/>
      <c r="BM26" s="766"/>
      <c r="BN26" s="766"/>
      <c r="BO26" s="766"/>
      <c r="BP26" s="766"/>
      <c r="BQ26" s="766"/>
      <c r="BR26" s="766"/>
      <c r="BS26" s="766"/>
      <c r="BT26" s="766"/>
      <c r="BU26" s="766"/>
      <c r="BV26" s="766"/>
      <c r="BW26" s="766"/>
      <c r="BX26" s="766"/>
      <c r="BY26" s="766"/>
      <c r="BZ26" s="766"/>
      <c r="CA26" s="766"/>
      <c r="CB26" s="766"/>
      <c r="CC26" s="766"/>
      <c r="CD26" s="766"/>
      <c r="CE26" s="766"/>
      <c r="CF26" s="766"/>
      <c r="CG26" s="766"/>
      <c r="CH26" s="766"/>
      <c r="CI26" s="766"/>
      <c r="CJ26" s="766"/>
      <c r="CK26" s="766"/>
      <c r="CL26" s="766"/>
      <c r="CM26" s="766"/>
      <c r="CN26" s="766"/>
      <c r="CO26" s="766"/>
      <c r="CP26" s="766"/>
      <c r="CQ26" s="766"/>
      <c r="CR26" s="766"/>
      <c r="CS26" s="766"/>
      <c r="CT26" s="766"/>
      <c r="CU26" s="766"/>
      <c r="CV26" s="766"/>
      <c r="CW26" s="766"/>
      <c r="CX26" s="766"/>
      <c r="CY26" s="766"/>
      <c r="CZ26" s="766"/>
      <c r="DA26" s="766"/>
      <c r="DB26" s="766"/>
      <c r="DC26" s="766"/>
      <c r="DD26" s="766"/>
      <c r="DE26" s="766"/>
      <c r="DF26" s="766"/>
      <c r="DG26" s="766"/>
      <c r="DH26" s="766"/>
      <c r="DI26" s="766"/>
      <c r="DJ26" s="766"/>
      <c r="DK26" s="766"/>
      <c r="DL26" s="766"/>
      <c r="DM26" s="766"/>
      <c r="DN26" s="766"/>
      <c r="DO26" s="766"/>
      <c r="DP26" s="766"/>
      <c r="DQ26" s="766"/>
      <c r="DR26" s="766"/>
      <c r="DS26" s="766"/>
      <c r="DT26" s="766"/>
      <c r="DU26" s="766"/>
      <c r="DV26" s="766"/>
      <c r="DW26" s="766"/>
      <c r="DX26" s="766"/>
      <c r="DY26" s="766"/>
      <c r="DZ26" s="766"/>
      <c r="EA26" s="766"/>
      <c r="EB26" s="766"/>
      <c r="EC26" s="766"/>
      <c r="ED26" s="766"/>
      <c r="EE26" s="766"/>
      <c r="EF26" s="766"/>
      <c r="EG26" s="766"/>
      <c r="EH26" s="766"/>
      <c r="EI26" s="766"/>
      <c r="EJ26" s="766"/>
      <c r="EK26" s="766"/>
      <c r="EL26" s="766"/>
      <c r="EM26" s="766"/>
      <c r="EN26" s="766"/>
    </row>
    <row r="27" spans="1:144" s="184" customFormat="1" ht="63.6" customHeight="1">
      <c r="A27" s="170"/>
      <c r="B27" s="171"/>
      <c r="C27" s="199" t="s">
        <v>292</v>
      </c>
      <c r="D27" s="173" t="s">
        <v>100</v>
      </c>
      <c r="E27" s="174"/>
      <c r="F27" s="176"/>
      <c r="G27" s="176">
        <v>1</v>
      </c>
      <c r="H27" s="176">
        <f>+G27*$H$11</f>
        <v>0</v>
      </c>
      <c r="I27" s="176"/>
      <c r="J27" s="176"/>
      <c r="K27" s="176"/>
      <c r="L27" s="176"/>
      <c r="M27" s="176"/>
      <c r="N27" s="176"/>
      <c r="O27" s="176"/>
      <c r="P27" s="200"/>
      <c r="Q27" s="176"/>
      <c r="R27" s="176"/>
      <c r="S27" s="176"/>
      <c r="T27" s="176"/>
      <c r="U27" s="176">
        <f t="shared" si="3"/>
        <v>0</v>
      </c>
      <c r="V27" s="178">
        <f t="shared" si="4"/>
        <v>0</v>
      </c>
      <c r="W27" s="179">
        <f>'A.P.U. 2024'!F141</f>
        <v>1091296.1271824106</v>
      </c>
      <c r="X27" s="179">
        <f>'A.P.U. 2024'!G141</f>
        <v>1226346.9995248467</v>
      </c>
      <c r="Y27" s="180">
        <f t="shared" ref="Y27" si="31">V27*W27</f>
        <v>0</v>
      </c>
      <c r="Z27" s="181">
        <f t="shared" ref="Z27" si="32">V27*X27</f>
        <v>0</v>
      </c>
      <c r="AA27" s="182">
        <f>'A.P.U. 2024'!G132</f>
        <v>834751.93730262446</v>
      </c>
      <c r="AB27" s="183">
        <f t="shared" si="28"/>
        <v>0</v>
      </c>
      <c r="AC27" s="182">
        <f>'A.P.U. 2024'!G134+'A.P.U. 2024'!G135</f>
        <v>11093</v>
      </c>
      <c r="AD27" s="181">
        <f t="shared" si="7"/>
        <v>0</v>
      </c>
      <c r="AE27" s="180">
        <f>'A.P.U. 2024'!G136</f>
        <v>301806.66222222219</v>
      </c>
      <c r="AF27" s="179">
        <f t="shared" si="8"/>
        <v>0</v>
      </c>
      <c r="AG27" s="180">
        <f>'A.P.U. 2024'!F140</f>
        <v>78695.399999999994</v>
      </c>
      <c r="AH27" s="180">
        <f t="shared" si="9"/>
        <v>0</v>
      </c>
      <c r="AI27" s="647">
        <f t="shared" si="10"/>
        <v>0</v>
      </c>
      <c r="AJ27" s="604">
        <f>'A.P.U. 2024'!L138</f>
        <v>0</v>
      </c>
      <c r="AK27" s="605"/>
      <c r="AL27" s="605"/>
      <c r="AM27" s="766"/>
      <c r="AN27" s="766"/>
      <c r="AO27" s="766"/>
      <c r="AP27" s="766"/>
      <c r="AQ27" s="766"/>
      <c r="AR27" s="766"/>
      <c r="AS27" s="766"/>
      <c r="AT27" s="766"/>
      <c r="AU27" s="766"/>
      <c r="AV27" s="766"/>
      <c r="AW27" s="766"/>
      <c r="AX27" s="766"/>
      <c r="AY27" s="766"/>
      <c r="AZ27" s="766"/>
      <c r="BA27" s="766"/>
      <c r="BB27" s="766"/>
      <c r="BC27" s="766"/>
      <c r="BD27" s="766"/>
      <c r="BE27" s="766"/>
      <c r="BF27" s="766"/>
      <c r="BG27" s="766"/>
      <c r="BH27" s="766"/>
      <c r="BI27" s="766"/>
      <c r="BJ27" s="766"/>
      <c r="BK27" s="766"/>
      <c r="BL27" s="766"/>
      <c r="BM27" s="766"/>
      <c r="BN27" s="766"/>
      <c r="BO27" s="766"/>
      <c r="BP27" s="766"/>
      <c r="BQ27" s="766"/>
      <c r="BR27" s="766"/>
      <c r="BS27" s="766"/>
      <c r="BT27" s="766"/>
      <c r="BU27" s="766"/>
      <c r="BV27" s="766"/>
      <c r="BW27" s="766"/>
      <c r="BX27" s="766"/>
      <c r="BY27" s="766"/>
      <c r="BZ27" s="766"/>
      <c r="CA27" s="766"/>
      <c r="CB27" s="766"/>
      <c r="CC27" s="766"/>
      <c r="CD27" s="766"/>
      <c r="CE27" s="766"/>
      <c r="CF27" s="766"/>
      <c r="CG27" s="766"/>
      <c r="CH27" s="766"/>
      <c r="CI27" s="766"/>
      <c r="CJ27" s="766"/>
      <c r="CK27" s="766"/>
      <c r="CL27" s="766"/>
      <c r="CM27" s="766"/>
      <c r="CN27" s="766"/>
      <c r="CO27" s="766"/>
      <c r="CP27" s="766"/>
      <c r="CQ27" s="766"/>
      <c r="CR27" s="766"/>
      <c r="CS27" s="766"/>
      <c r="CT27" s="766"/>
      <c r="CU27" s="766"/>
      <c r="CV27" s="766"/>
      <c r="CW27" s="766"/>
      <c r="CX27" s="766"/>
      <c r="CY27" s="766"/>
      <c r="CZ27" s="766"/>
      <c r="DA27" s="766"/>
      <c r="DB27" s="766"/>
      <c r="DC27" s="766"/>
      <c r="DD27" s="766"/>
      <c r="DE27" s="766"/>
      <c r="DF27" s="766"/>
      <c r="DG27" s="766"/>
      <c r="DH27" s="766"/>
      <c r="DI27" s="766"/>
      <c r="DJ27" s="766"/>
      <c r="DK27" s="766"/>
      <c r="DL27" s="766"/>
      <c r="DM27" s="766"/>
      <c r="DN27" s="766"/>
      <c r="DO27" s="766"/>
      <c r="DP27" s="766"/>
      <c r="DQ27" s="766"/>
      <c r="DR27" s="766"/>
      <c r="DS27" s="766"/>
      <c r="DT27" s="766"/>
      <c r="DU27" s="766"/>
      <c r="DV27" s="766"/>
      <c r="DW27" s="766"/>
      <c r="DX27" s="766"/>
      <c r="DY27" s="766"/>
      <c r="DZ27" s="766"/>
      <c r="EA27" s="766"/>
      <c r="EB27" s="766"/>
      <c r="EC27" s="766"/>
      <c r="ED27" s="766"/>
      <c r="EE27" s="766"/>
      <c r="EF27" s="766"/>
      <c r="EG27" s="766"/>
      <c r="EH27" s="766"/>
      <c r="EI27" s="766"/>
      <c r="EJ27" s="766"/>
      <c r="EK27" s="766"/>
      <c r="EL27" s="766"/>
      <c r="EM27" s="766"/>
      <c r="EN27" s="766"/>
    </row>
    <row r="28" spans="1:144" s="184" customFormat="1" ht="99.75">
      <c r="A28" s="170" t="e">
        <f>+A26+1</f>
        <v>#REF!</v>
      </c>
      <c r="B28" s="171" t="s">
        <v>289</v>
      </c>
      <c r="C28" s="199" t="str">
        <f>+'A.P.U. 2024'!A145</f>
        <v>sistema séptico y FAFA prefabricado en P.R.F.V (Poliéster Reforzado Con Fibra De Vidrio) con capacidad para atender una población de dieciséis a veinte (16 a 20) habitantes, (incluye: accesorios internos, material filtrante para el FAFA que garanticen un área superficial de contacto ≥ 90m2/m3, tubería de PVC-S ø2" con accesorios y malla mosquitera doble. Volumen de 3,000-3,300 litros.</v>
      </c>
      <c r="D28" s="173" t="s">
        <v>100</v>
      </c>
      <c r="E28" s="174"/>
      <c r="F28" s="176"/>
      <c r="G28" s="176"/>
      <c r="H28" s="176"/>
      <c r="I28" s="176">
        <v>1</v>
      </c>
      <c r="J28" s="176">
        <f>+I28*$J$8</f>
        <v>0</v>
      </c>
      <c r="K28" s="176"/>
      <c r="L28" s="176"/>
      <c r="M28" s="176"/>
      <c r="N28" s="176"/>
      <c r="O28" s="176"/>
      <c r="P28" s="200"/>
      <c r="Q28" s="176"/>
      <c r="R28" s="176"/>
      <c r="S28" s="176"/>
      <c r="T28" s="176"/>
      <c r="U28" s="176">
        <f t="shared" si="3"/>
        <v>0</v>
      </c>
      <c r="V28" s="178">
        <f t="shared" si="4"/>
        <v>0</v>
      </c>
      <c r="W28" s="179">
        <f>+'A.P.U. 2024'!F154</f>
        <v>5959282.1323247524</v>
      </c>
      <c r="X28" s="179">
        <f>+'A.P.U. 2024'!G154</f>
        <v>6993977.6024664547</v>
      </c>
      <c r="Y28" s="180">
        <f t="shared" si="1"/>
        <v>0</v>
      </c>
      <c r="Z28" s="181">
        <f t="shared" si="2"/>
        <v>0</v>
      </c>
      <c r="AA28" s="182">
        <f>+'A.P.U. 2024'!G145</f>
        <v>6465339.6024664547</v>
      </c>
      <c r="AB28" s="183">
        <f>+AA28*V28</f>
        <v>0</v>
      </c>
      <c r="AC28" s="182">
        <f>+'A.P.U. 2024'!G148+'A.P.U. 2024'!G146</f>
        <v>15121.5</v>
      </c>
      <c r="AD28" s="181">
        <f t="shared" si="7"/>
        <v>0</v>
      </c>
      <c r="AE28" s="180">
        <f>+'A.P.U. 2024'!G150</f>
        <v>0</v>
      </c>
      <c r="AF28" s="179">
        <f t="shared" si="8"/>
        <v>0</v>
      </c>
      <c r="AG28" s="180">
        <f>+'A.P.U. 2024'!G151+'A.P.U. 2024'!G152</f>
        <v>513516.50000000006</v>
      </c>
      <c r="AH28" s="180">
        <f t="shared" si="9"/>
        <v>0</v>
      </c>
      <c r="AI28" s="647">
        <f t="shared" si="10"/>
        <v>0</v>
      </c>
      <c r="AJ28" s="604">
        <f>+'A.P.U. 2024'!L145</f>
        <v>0</v>
      </c>
      <c r="AK28" s="605"/>
      <c r="AL28" s="605"/>
      <c r="AM28" s="766"/>
      <c r="AN28" s="766"/>
      <c r="AO28" s="766"/>
      <c r="AP28" s="766"/>
      <c r="AQ28" s="766"/>
      <c r="AR28" s="766"/>
      <c r="AS28" s="766"/>
      <c r="AT28" s="766"/>
      <c r="AU28" s="766"/>
      <c r="AV28" s="766"/>
      <c r="AW28" s="766"/>
      <c r="AX28" s="766"/>
      <c r="AY28" s="766"/>
      <c r="AZ28" s="766"/>
      <c r="BA28" s="766"/>
      <c r="BB28" s="766"/>
      <c r="BC28" s="766"/>
      <c r="BD28" s="766"/>
      <c r="BE28" s="766"/>
      <c r="BF28" s="766"/>
      <c r="BG28" s="766"/>
      <c r="BH28" s="766"/>
      <c r="BI28" s="766"/>
      <c r="BJ28" s="766"/>
      <c r="BK28" s="766"/>
      <c r="BL28" s="766"/>
      <c r="BM28" s="766"/>
      <c r="BN28" s="766"/>
      <c r="BO28" s="766"/>
      <c r="BP28" s="766"/>
      <c r="BQ28" s="766"/>
      <c r="BR28" s="766"/>
      <c r="BS28" s="766"/>
      <c r="BT28" s="766"/>
      <c r="BU28" s="766"/>
      <c r="BV28" s="766"/>
      <c r="BW28" s="766"/>
      <c r="BX28" s="766"/>
      <c r="BY28" s="766"/>
      <c r="BZ28" s="766"/>
      <c r="CA28" s="766"/>
      <c r="CB28" s="766"/>
      <c r="CC28" s="766"/>
      <c r="CD28" s="766"/>
      <c r="CE28" s="766"/>
      <c r="CF28" s="766"/>
      <c r="CG28" s="766"/>
      <c r="CH28" s="766"/>
      <c r="CI28" s="766"/>
      <c r="CJ28" s="766"/>
      <c r="CK28" s="766"/>
      <c r="CL28" s="766"/>
      <c r="CM28" s="766"/>
      <c r="CN28" s="766"/>
      <c r="CO28" s="766"/>
      <c r="CP28" s="766"/>
      <c r="CQ28" s="766"/>
      <c r="CR28" s="766"/>
      <c r="CS28" s="766"/>
      <c r="CT28" s="766"/>
      <c r="CU28" s="766"/>
      <c r="CV28" s="766"/>
      <c r="CW28" s="766"/>
      <c r="CX28" s="766"/>
      <c r="CY28" s="766"/>
      <c r="CZ28" s="766"/>
      <c r="DA28" s="766"/>
      <c r="DB28" s="766"/>
      <c r="DC28" s="766"/>
      <c r="DD28" s="766"/>
      <c r="DE28" s="766"/>
      <c r="DF28" s="766"/>
      <c r="DG28" s="766"/>
      <c r="DH28" s="766"/>
      <c r="DI28" s="766"/>
      <c r="DJ28" s="766"/>
      <c r="DK28" s="766"/>
      <c r="DL28" s="766"/>
      <c r="DM28" s="766"/>
      <c r="DN28" s="766"/>
      <c r="DO28" s="766"/>
      <c r="DP28" s="766"/>
      <c r="DQ28" s="766"/>
      <c r="DR28" s="766"/>
      <c r="DS28" s="766"/>
      <c r="DT28" s="766"/>
      <c r="DU28" s="766"/>
      <c r="DV28" s="766"/>
      <c r="DW28" s="766"/>
      <c r="DX28" s="766"/>
      <c r="DY28" s="766"/>
      <c r="DZ28" s="766"/>
      <c r="EA28" s="766"/>
      <c r="EB28" s="766"/>
      <c r="EC28" s="766"/>
      <c r="ED28" s="766"/>
      <c r="EE28" s="766"/>
      <c r="EF28" s="766"/>
      <c r="EG28" s="766"/>
      <c r="EH28" s="766"/>
      <c r="EI28" s="766"/>
      <c r="EJ28" s="766"/>
      <c r="EK28" s="766"/>
      <c r="EL28" s="766"/>
      <c r="EM28" s="766"/>
      <c r="EN28" s="766"/>
    </row>
    <row r="29" spans="1:144" s="184" customFormat="1" ht="55.15" customHeight="1">
      <c r="A29" s="170"/>
      <c r="B29" s="171"/>
      <c r="C29" s="199" t="s">
        <v>293</v>
      </c>
      <c r="D29" s="173" t="s">
        <v>100</v>
      </c>
      <c r="E29" s="174"/>
      <c r="F29" s="176"/>
      <c r="G29" s="176"/>
      <c r="H29" s="176"/>
      <c r="I29" s="176">
        <v>1</v>
      </c>
      <c r="J29" s="176">
        <f>+I29*$J$11</f>
        <v>0</v>
      </c>
      <c r="K29" s="176"/>
      <c r="L29" s="176"/>
      <c r="M29" s="176"/>
      <c r="N29" s="176"/>
      <c r="O29" s="176"/>
      <c r="P29" s="200"/>
      <c r="Q29" s="176"/>
      <c r="R29" s="176"/>
      <c r="S29" s="176"/>
      <c r="T29" s="176"/>
      <c r="U29" s="176">
        <f t="shared" si="3"/>
        <v>0</v>
      </c>
      <c r="V29" s="178">
        <f t="shared" si="4"/>
        <v>0</v>
      </c>
      <c r="W29" s="179">
        <f>'A.P.U. 2024'!F166</f>
        <v>1249077.9016131633</v>
      </c>
      <c r="X29" s="179">
        <f>'A.P.U. 2024'!G166</f>
        <v>1414107.3110974422</v>
      </c>
      <c r="Y29" s="180">
        <f t="shared" ref="Y29" si="33">V29*W29</f>
        <v>0</v>
      </c>
      <c r="Z29" s="181">
        <f t="shared" ref="Z29" si="34">V29*X29</f>
        <v>0</v>
      </c>
      <c r="AA29" s="182">
        <f>'A.P.U. 2024'!G157</f>
        <v>1022512.24887522</v>
      </c>
      <c r="AB29" s="183">
        <f>+AA29*V29</f>
        <v>0</v>
      </c>
      <c r="AC29" s="182">
        <f>'A.P.U. 2024'!G159+'A.P.U. 2024'!G160</f>
        <v>11093</v>
      </c>
      <c r="AD29" s="181">
        <f t="shared" si="7"/>
        <v>0</v>
      </c>
      <c r="AE29" s="180">
        <f>'A.P.U. 2024'!G161</f>
        <v>301806.66222222219</v>
      </c>
      <c r="AF29" s="179">
        <f t="shared" si="8"/>
        <v>0</v>
      </c>
      <c r="AG29" s="180">
        <f>'A.P.U. 2024'!F165</f>
        <v>78695.399999999994</v>
      </c>
      <c r="AH29" s="180">
        <f t="shared" si="9"/>
        <v>0</v>
      </c>
      <c r="AI29" s="647">
        <f t="shared" si="10"/>
        <v>0</v>
      </c>
      <c r="AJ29" s="604">
        <f>'A.P.U. 2024'!L163</f>
        <v>0</v>
      </c>
      <c r="AK29" s="605"/>
      <c r="AL29" s="605"/>
      <c r="AM29" s="766"/>
      <c r="AN29" s="766"/>
      <c r="AO29" s="766"/>
      <c r="AP29" s="766"/>
      <c r="AQ29" s="766"/>
      <c r="AR29" s="766"/>
      <c r="AS29" s="766"/>
      <c r="AT29" s="766"/>
      <c r="AU29" s="766"/>
      <c r="AV29" s="766"/>
      <c r="AW29" s="766"/>
      <c r="AX29" s="766"/>
      <c r="AY29" s="766"/>
      <c r="AZ29" s="766"/>
      <c r="BA29" s="766"/>
      <c r="BB29" s="766"/>
      <c r="BC29" s="766"/>
      <c r="BD29" s="766"/>
      <c r="BE29" s="766"/>
      <c r="BF29" s="766"/>
      <c r="BG29" s="766"/>
      <c r="BH29" s="766"/>
      <c r="BI29" s="766"/>
      <c r="BJ29" s="766"/>
      <c r="BK29" s="766"/>
      <c r="BL29" s="766"/>
      <c r="BM29" s="766"/>
      <c r="BN29" s="766"/>
      <c r="BO29" s="766"/>
      <c r="BP29" s="766"/>
      <c r="BQ29" s="766"/>
      <c r="BR29" s="766"/>
      <c r="BS29" s="766"/>
      <c r="BT29" s="766"/>
      <c r="BU29" s="766"/>
      <c r="BV29" s="766"/>
      <c r="BW29" s="766"/>
      <c r="BX29" s="766"/>
      <c r="BY29" s="766"/>
      <c r="BZ29" s="766"/>
      <c r="CA29" s="766"/>
      <c r="CB29" s="766"/>
      <c r="CC29" s="766"/>
      <c r="CD29" s="766"/>
      <c r="CE29" s="766"/>
      <c r="CF29" s="766"/>
      <c r="CG29" s="766"/>
      <c r="CH29" s="766"/>
      <c r="CI29" s="766"/>
      <c r="CJ29" s="766"/>
      <c r="CK29" s="766"/>
      <c r="CL29" s="766"/>
      <c r="CM29" s="766"/>
      <c r="CN29" s="766"/>
      <c r="CO29" s="766"/>
      <c r="CP29" s="766"/>
      <c r="CQ29" s="766"/>
      <c r="CR29" s="766"/>
      <c r="CS29" s="766"/>
      <c r="CT29" s="766"/>
      <c r="CU29" s="766"/>
      <c r="CV29" s="766"/>
      <c r="CW29" s="766"/>
      <c r="CX29" s="766"/>
      <c r="CY29" s="766"/>
      <c r="CZ29" s="766"/>
      <c r="DA29" s="766"/>
      <c r="DB29" s="766"/>
      <c r="DC29" s="766"/>
      <c r="DD29" s="766"/>
      <c r="DE29" s="766"/>
      <c r="DF29" s="766"/>
      <c r="DG29" s="766"/>
      <c r="DH29" s="766"/>
      <c r="DI29" s="766"/>
      <c r="DJ29" s="766"/>
      <c r="DK29" s="766"/>
      <c r="DL29" s="766"/>
      <c r="DM29" s="766"/>
      <c r="DN29" s="766"/>
      <c r="DO29" s="766"/>
      <c r="DP29" s="766"/>
      <c r="DQ29" s="766"/>
      <c r="DR29" s="766"/>
      <c r="DS29" s="766"/>
      <c r="DT29" s="766"/>
      <c r="DU29" s="766"/>
      <c r="DV29" s="766"/>
      <c r="DW29" s="766"/>
      <c r="DX29" s="766"/>
      <c r="DY29" s="766"/>
      <c r="DZ29" s="766"/>
      <c r="EA29" s="766"/>
      <c r="EB29" s="766"/>
      <c r="EC29" s="766"/>
      <c r="ED29" s="766"/>
      <c r="EE29" s="766"/>
      <c r="EF29" s="766"/>
      <c r="EG29" s="766"/>
      <c r="EH29" s="766"/>
      <c r="EI29" s="766"/>
      <c r="EJ29" s="766"/>
      <c r="EK29" s="766"/>
      <c r="EL29" s="766"/>
      <c r="EM29" s="766"/>
      <c r="EN29" s="766"/>
    </row>
    <row r="30" spans="1:144" s="184" customFormat="1" ht="133.5" customHeight="1">
      <c r="A30" s="170" t="e">
        <f>+A28+1</f>
        <v>#REF!</v>
      </c>
      <c r="B30" s="171" t="s">
        <v>289</v>
      </c>
      <c r="C30" s="199" t="str">
        <f>+'A.P.U. 2024'!A169</f>
        <v>sistema séptico y FAFA prefabricado en P.R.F.V (Poliéster Reforzado Con Fibra De Vidrio) con capacidad para atender una población de veinti uno a treinta (21 a 30) habitantes, (incluye: accesorios internos, material filtrante para el FAFA que garanticen un área superficial de contacto ≥ 90m2/m3, tubería de PVC-S ø2" con accesorios y malla mosquitera doble. Volumen de 4,500-5,000 litros.</v>
      </c>
      <c r="D30" s="173" t="s">
        <v>100</v>
      </c>
      <c r="E30" s="174"/>
      <c r="F30" s="176"/>
      <c r="G30" s="176"/>
      <c r="H30" s="176"/>
      <c r="I30" s="176"/>
      <c r="J30" s="176"/>
      <c r="K30" s="176">
        <v>1</v>
      </c>
      <c r="L30" s="176">
        <f>+K30*$L$8</f>
        <v>0</v>
      </c>
      <c r="M30" s="176"/>
      <c r="N30" s="176"/>
      <c r="O30" s="176"/>
      <c r="P30" s="200"/>
      <c r="Q30" s="176"/>
      <c r="R30" s="176"/>
      <c r="S30" s="176"/>
      <c r="T30" s="176"/>
      <c r="U30" s="176">
        <f t="shared" si="3"/>
        <v>0</v>
      </c>
      <c r="V30" s="178">
        <f>+ROUND(U30,1)</f>
        <v>0</v>
      </c>
      <c r="W30" s="179">
        <f>+'A.P.U. 2024'!F178</f>
        <v>9034293.839937849</v>
      </c>
      <c r="X30" s="179">
        <f>+'A.P.U. 2024'!G178</f>
        <v>10633727.907526039</v>
      </c>
      <c r="Y30" s="180">
        <f t="shared" si="1"/>
        <v>0</v>
      </c>
      <c r="Z30" s="181">
        <f t="shared" si="2"/>
        <v>0</v>
      </c>
      <c r="AA30" s="182">
        <f>+'A.P.U. 2024'!G169</f>
        <v>10002386.607526038</v>
      </c>
      <c r="AB30" s="183">
        <f t="shared" si="28"/>
        <v>0</v>
      </c>
      <c r="AC30" s="182">
        <f>+'A.P.U. 2024'!G172+'A.P.U. 2024'!G170</f>
        <v>15121.5</v>
      </c>
      <c r="AD30" s="181">
        <f t="shared" si="7"/>
        <v>0</v>
      </c>
      <c r="AE30" s="180">
        <f>+'A.P.U. 2024'!G174</f>
        <v>0</v>
      </c>
      <c r="AF30" s="179">
        <f t="shared" si="8"/>
        <v>0</v>
      </c>
      <c r="AG30" s="180">
        <f>+'A.P.U. 2024'!G175+'A.P.U. 2024'!G176</f>
        <v>616219.80000000005</v>
      </c>
      <c r="AH30" s="180">
        <f t="shared" si="9"/>
        <v>0</v>
      </c>
      <c r="AI30" s="647">
        <f t="shared" si="10"/>
        <v>0</v>
      </c>
      <c r="AJ30" s="604">
        <f>+'A.P.U. 2024'!L169</f>
        <v>0</v>
      </c>
      <c r="AK30" s="605"/>
      <c r="AL30" s="605"/>
      <c r="AM30" s="766"/>
      <c r="AN30" s="766"/>
      <c r="AO30" s="766"/>
      <c r="AP30" s="766"/>
      <c r="AQ30" s="766"/>
      <c r="AR30" s="766"/>
      <c r="AS30" s="766"/>
      <c r="AT30" s="766"/>
      <c r="AU30" s="766"/>
      <c r="AV30" s="766"/>
      <c r="AW30" s="766"/>
      <c r="AX30" s="766"/>
      <c r="AY30" s="766"/>
      <c r="AZ30" s="766"/>
      <c r="BA30" s="766"/>
      <c r="BB30" s="766"/>
      <c r="BC30" s="766"/>
      <c r="BD30" s="766"/>
      <c r="BE30" s="766"/>
      <c r="BF30" s="766"/>
      <c r="BG30" s="766"/>
      <c r="BH30" s="766"/>
      <c r="BI30" s="766"/>
      <c r="BJ30" s="766"/>
      <c r="BK30" s="766"/>
      <c r="BL30" s="766"/>
      <c r="BM30" s="766"/>
      <c r="BN30" s="766"/>
      <c r="BO30" s="766"/>
      <c r="BP30" s="766"/>
      <c r="BQ30" s="766"/>
      <c r="BR30" s="766"/>
      <c r="BS30" s="766"/>
      <c r="BT30" s="766"/>
      <c r="BU30" s="766"/>
      <c r="BV30" s="766"/>
      <c r="BW30" s="766"/>
      <c r="BX30" s="766"/>
      <c r="BY30" s="766"/>
      <c r="BZ30" s="766"/>
      <c r="CA30" s="766"/>
      <c r="CB30" s="766"/>
      <c r="CC30" s="766"/>
      <c r="CD30" s="766"/>
      <c r="CE30" s="766"/>
      <c r="CF30" s="766"/>
      <c r="CG30" s="766"/>
      <c r="CH30" s="766"/>
      <c r="CI30" s="766"/>
      <c r="CJ30" s="766"/>
      <c r="CK30" s="766"/>
      <c r="CL30" s="766"/>
      <c r="CM30" s="766"/>
      <c r="CN30" s="766"/>
      <c r="CO30" s="766"/>
      <c r="CP30" s="766"/>
      <c r="CQ30" s="766"/>
      <c r="CR30" s="766"/>
      <c r="CS30" s="766"/>
      <c r="CT30" s="766"/>
      <c r="CU30" s="766"/>
      <c r="CV30" s="766"/>
      <c r="CW30" s="766"/>
      <c r="CX30" s="766"/>
      <c r="CY30" s="766"/>
      <c r="CZ30" s="766"/>
      <c r="DA30" s="766"/>
      <c r="DB30" s="766"/>
      <c r="DC30" s="766"/>
      <c r="DD30" s="766"/>
      <c r="DE30" s="766"/>
      <c r="DF30" s="766"/>
      <c r="DG30" s="766"/>
      <c r="DH30" s="766"/>
      <c r="DI30" s="766"/>
      <c r="DJ30" s="766"/>
      <c r="DK30" s="766"/>
      <c r="DL30" s="766"/>
      <c r="DM30" s="766"/>
      <c r="DN30" s="766"/>
      <c r="DO30" s="766"/>
      <c r="DP30" s="766"/>
      <c r="DQ30" s="766"/>
      <c r="DR30" s="766"/>
      <c r="DS30" s="766"/>
      <c r="DT30" s="766"/>
      <c r="DU30" s="766"/>
      <c r="DV30" s="766"/>
      <c r="DW30" s="766"/>
      <c r="DX30" s="766"/>
      <c r="DY30" s="766"/>
      <c r="DZ30" s="766"/>
      <c r="EA30" s="766"/>
      <c r="EB30" s="766"/>
      <c r="EC30" s="766"/>
      <c r="ED30" s="766"/>
      <c r="EE30" s="766"/>
      <c r="EF30" s="766"/>
      <c r="EG30" s="766"/>
      <c r="EH30" s="766"/>
      <c r="EI30" s="766"/>
      <c r="EJ30" s="766"/>
      <c r="EK30" s="766"/>
      <c r="EL30" s="766"/>
      <c r="EM30" s="766"/>
      <c r="EN30" s="766"/>
    </row>
    <row r="31" spans="1:144" s="184" customFormat="1" ht="59.65" customHeight="1">
      <c r="A31" s="170"/>
      <c r="B31" s="171"/>
      <c r="C31" s="199" t="s">
        <v>294</v>
      </c>
      <c r="D31" s="173" t="s">
        <v>100</v>
      </c>
      <c r="E31" s="174"/>
      <c r="F31" s="176"/>
      <c r="G31" s="176"/>
      <c r="H31" s="176"/>
      <c r="I31" s="176"/>
      <c r="J31" s="176"/>
      <c r="K31" s="176">
        <v>1</v>
      </c>
      <c r="L31" s="176">
        <f>+K31*$L$11</f>
        <v>0</v>
      </c>
      <c r="M31" s="176"/>
      <c r="N31" s="176"/>
      <c r="O31" s="176"/>
      <c r="P31" s="200"/>
      <c r="Q31" s="176"/>
      <c r="R31" s="176"/>
      <c r="S31" s="176"/>
      <c r="T31" s="176"/>
      <c r="U31" s="176">
        <f t="shared" si="3"/>
        <v>0</v>
      </c>
      <c r="V31" s="178">
        <f>+ROUND(U31,1)</f>
        <v>0</v>
      </c>
      <c r="W31" s="179">
        <f>'A.P.U. 2024'!F190</f>
        <v>1563756.2673660601</v>
      </c>
      <c r="X31" s="179">
        <f>'A.P.U. 2024'!G190</f>
        <v>1789208.3778433891</v>
      </c>
      <c r="Y31" s="180">
        <f t="shared" si="1"/>
        <v>0</v>
      </c>
      <c r="Z31" s="181">
        <f t="shared" si="2"/>
        <v>0</v>
      </c>
      <c r="AA31" s="182">
        <f>'A.P.U. 2024'!G181</f>
        <v>1400949.1656211668</v>
      </c>
      <c r="AB31" s="183">
        <f t="shared" si="28"/>
        <v>0</v>
      </c>
      <c r="AC31" s="182">
        <f>'A.P.U. 2024'!G183+'A.P.U. 2024'!G184</f>
        <v>11093</v>
      </c>
      <c r="AD31" s="181">
        <f t="shared" si="7"/>
        <v>0</v>
      </c>
      <c r="AE31" s="180">
        <f>'A.P.U. 2024'!G185</f>
        <v>301806.66222222219</v>
      </c>
      <c r="AF31" s="179">
        <f t="shared" si="8"/>
        <v>0</v>
      </c>
      <c r="AG31" s="180">
        <f>'A.P.U. 2024'!F189</f>
        <v>75359.55</v>
      </c>
      <c r="AH31" s="180">
        <f t="shared" si="9"/>
        <v>0</v>
      </c>
      <c r="AI31" s="647">
        <f t="shared" si="10"/>
        <v>0</v>
      </c>
      <c r="AJ31" s="604">
        <f>'A.P.U. 2024'!L187</f>
        <v>0</v>
      </c>
      <c r="AK31" s="605"/>
      <c r="AL31" s="605"/>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766"/>
      <c r="CM31" s="766"/>
      <c r="CN31" s="766"/>
      <c r="CO31" s="766"/>
      <c r="CP31" s="766"/>
      <c r="CQ31" s="766"/>
      <c r="CR31" s="766"/>
      <c r="CS31" s="766"/>
      <c r="CT31" s="766"/>
      <c r="CU31" s="766"/>
      <c r="CV31" s="766"/>
      <c r="CW31" s="766"/>
      <c r="CX31" s="766"/>
      <c r="CY31" s="766"/>
      <c r="CZ31" s="766"/>
      <c r="DA31" s="766"/>
      <c r="DB31" s="766"/>
      <c r="DC31" s="766"/>
      <c r="DD31" s="766"/>
      <c r="DE31" s="766"/>
      <c r="DF31" s="766"/>
      <c r="DG31" s="766"/>
      <c r="DH31" s="766"/>
      <c r="DI31" s="766"/>
      <c r="DJ31" s="766"/>
      <c r="DK31" s="766"/>
      <c r="DL31" s="766"/>
      <c r="DM31" s="766"/>
      <c r="DN31" s="766"/>
      <c r="DO31" s="766"/>
      <c r="DP31" s="766"/>
      <c r="DQ31" s="766"/>
      <c r="DR31" s="766"/>
      <c r="DS31" s="766"/>
      <c r="DT31" s="766"/>
      <c r="DU31" s="766"/>
      <c r="DV31" s="766"/>
      <c r="DW31" s="766"/>
      <c r="DX31" s="766"/>
      <c r="DY31" s="766"/>
      <c r="DZ31" s="766"/>
      <c r="EA31" s="766"/>
      <c r="EB31" s="766"/>
      <c r="EC31" s="766"/>
      <c r="ED31" s="766"/>
      <c r="EE31" s="766"/>
      <c r="EF31" s="766"/>
      <c r="EG31" s="766"/>
      <c r="EH31" s="766"/>
      <c r="EI31" s="766"/>
      <c r="EJ31" s="766"/>
      <c r="EK31" s="766"/>
      <c r="EL31" s="766"/>
      <c r="EM31" s="766"/>
      <c r="EN31" s="766"/>
    </row>
    <row r="32" spans="1:144" s="184" customFormat="1" ht="117.75" customHeight="1">
      <c r="A32" s="170" t="e">
        <f>+A30+1</f>
        <v>#REF!</v>
      </c>
      <c r="B32" s="171" t="s">
        <v>289</v>
      </c>
      <c r="C32" s="199" t="str">
        <f>+'A.P.U. 2024'!A193</f>
        <v>sistema séptico y FAFA prefabricado en P.R.F.V (Poliéster Reforzado Con Fibra De Vidrio) con capacidad para atender una población de treinta y uno a cuarenta (31 a 40) habitantes, (incluye: accesorios internos, material filtrante para el FAFA que garanticen un área superficial de contacto ≥ 90m2/m3, tubería de PVC-S ø2" con accesorios y malla mosquitera doble. Volumen de 6,000-6,500 litros.</v>
      </c>
      <c r="D32" s="173" t="s">
        <v>100</v>
      </c>
      <c r="E32" s="174"/>
      <c r="F32" s="176"/>
      <c r="G32" s="176"/>
      <c r="H32" s="176"/>
      <c r="I32" s="176"/>
      <c r="J32" s="176"/>
      <c r="K32" s="176"/>
      <c r="L32" s="176"/>
      <c r="M32" s="176">
        <v>1</v>
      </c>
      <c r="N32" s="176">
        <f>+M32*$N$8</f>
        <v>0</v>
      </c>
      <c r="O32" s="176"/>
      <c r="P32" s="200"/>
      <c r="Q32" s="176"/>
      <c r="R32" s="176"/>
      <c r="S32" s="176"/>
      <c r="T32" s="176"/>
      <c r="U32" s="176">
        <f t="shared" si="3"/>
        <v>0</v>
      </c>
      <c r="V32" s="178">
        <f t="shared" si="4"/>
        <v>0</v>
      </c>
      <c r="W32" s="179">
        <f>+'A.P.U. 2024'!F202</f>
        <v>12663921.143727884</v>
      </c>
      <c r="X32" s="179">
        <f>+'A.P.U. 2024'!G202</f>
        <v>14923713.95853618</v>
      </c>
      <c r="Y32" s="180">
        <f t="shared" si="1"/>
        <v>0</v>
      </c>
      <c r="Z32" s="181">
        <f t="shared" si="2"/>
        <v>0</v>
      </c>
      <c r="AA32" s="182">
        <f>+'A.P.U. 2024'!G193</f>
        <v>14138317.70853618</v>
      </c>
      <c r="AB32" s="183">
        <f>+AA32*V32</f>
        <v>0</v>
      </c>
      <c r="AC32" s="182">
        <f>+'A.P.U. 2024'!G196+'A.P.U. 2024'!G194</f>
        <v>15121.5</v>
      </c>
      <c r="AD32" s="181">
        <f t="shared" si="7"/>
        <v>0</v>
      </c>
      <c r="AE32" s="180">
        <f>+'A.P.U. 2024'!G198</f>
        <v>0</v>
      </c>
      <c r="AF32" s="179">
        <f t="shared" si="8"/>
        <v>0</v>
      </c>
      <c r="AG32" s="180">
        <f>+'A.P.U. 2024'!G199+'A.P.U. 2024'!G200</f>
        <v>770274.75</v>
      </c>
      <c r="AH32" s="180">
        <f t="shared" si="9"/>
        <v>0</v>
      </c>
      <c r="AI32" s="647">
        <f t="shared" si="10"/>
        <v>0</v>
      </c>
      <c r="AJ32" s="604">
        <f>+'A.P.U. 2024'!L193</f>
        <v>0</v>
      </c>
      <c r="AK32" s="605"/>
      <c r="AL32" s="605"/>
      <c r="AM32" s="766"/>
      <c r="AN32" s="766"/>
      <c r="AO32" s="766"/>
      <c r="AP32" s="766"/>
      <c r="AQ32" s="766"/>
      <c r="AR32" s="766"/>
      <c r="AS32" s="766"/>
      <c r="AT32" s="766"/>
      <c r="AU32" s="766"/>
      <c r="AV32" s="766"/>
      <c r="AW32" s="766"/>
      <c r="AX32" s="766"/>
      <c r="AY32" s="766"/>
      <c r="AZ32" s="766"/>
      <c r="BA32" s="766"/>
      <c r="BB32" s="766"/>
      <c r="BC32" s="766"/>
      <c r="BD32" s="766"/>
      <c r="BE32" s="766"/>
      <c r="BF32" s="766"/>
      <c r="BG32" s="766"/>
      <c r="BH32" s="766"/>
      <c r="BI32" s="766"/>
      <c r="BJ32" s="766"/>
      <c r="BK32" s="766"/>
      <c r="BL32" s="766"/>
      <c r="BM32" s="766"/>
      <c r="BN32" s="766"/>
      <c r="BO32" s="766"/>
      <c r="BP32" s="766"/>
      <c r="BQ32" s="766"/>
      <c r="BR32" s="766"/>
      <c r="BS32" s="766"/>
      <c r="BT32" s="766"/>
      <c r="BU32" s="766"/>
      <c r="BV32" s="766"/>
      <c r="BW32" s="766"/>
      <c r="BX32" s="766"/>
      <c r="BY32" s="766"/>
      <c r="BZ32" s="766"/>
      <c r="CA32" s="766"/>
      <c r="CB32" s="766"/>
      <c r="CC32" s="766"/>
      <c r="CD32" s="766"/>
      <c r="CE32" s="766"/>
      <c r="CF32" s="766"/>
      <c r="CG32" s="766"/>
      <c r="CH32" s="766"/>
      <c r="CI32" s="766"/>
      <c r="CJ32" s="766"/>
      <c r="CK32" s="766"/>
      <c r="CL32" s="766"/>
      <c r="CM32" s="766"/>
      <c r="CN32" s="766"/>
      <c r="CO32" s="766"/>
      <c r="CP32" s="766"/>
      <c r="CQ32" s="766"/>
      <c r="CR32" s="766"/>
      <c r="CS32" s="766"/>
      <c r="CT32" s="766"/>
      <c r="CU32" s="766"/>
      <c r="CV32" s="766"/>
      <c r="CW32" s="766"/>
      <c r="CX32" s="766"/>
      <c r="CY32" s="766"/>
      <c r="CZ32" s="766"/>
      <c r="DA32" s="766"/>
      <c r="DB32" s="766"/>
      <c r="DC32" s="766"/>
      <c r="DD32" s="766"/>
      <c r="DE32" s="766"/>
      <c r="DF32" s="766"/>
      <c r="DG32" s="766"/>
      <c r="DH32" s="766"/>
      <c r="DI32" s="766"/>
      <c r="DJ32" s="766"/>
      <c r="DK32" s="766"/>
      <c r="DL32" s="766"/>
      <c r="DM32" s="766"/>
      <c r="DN32" s="766"/>
      <c r="DO32" s="766"/>
      <c r="DP32" s="766"/>
      <c r="DQ32" s="766"/>
      <c r="DR32" s="766"/>
      <c r="DS32" s="766"/>
      <c r="DT32" s="766"/>
      <c r="DU32" s="766"/>
      <c r="DV32" s="766"/>
      <c r="DW32" s="766"/>
      <c r="DX32" s="766"/>
      <c r="DY32" s="766"/>
      <c r="DZ32" s="766"/>
      <c r="EA32" s="766"/>
      <c r="EB32" s="766"/>
      <c r="EC32" s="766"/>
      <c r="ED32" s="766"/>
      <c r="EE32" s="766"/>
      <c r="EF32" s="766"/>
      <c r="EG32" s="766"/>
      <c r="EH32" s="766"/>
      <c r="EI32" s="766"/>
      <c r="EJ32" s="766"/>
      <c r="EK32" s="766"/>
      <c r="EL32" s="766"/>
      <c r="EM32" s="766"/>
      <c r="EN32" s="766"/>
    </row>
    <row r="33" spans="1:144" s="184" customFormat="1" ht="78.599999999999994" customHeight="1">
      <c r="A33" s="170"/>
      <c r="B33" s="171"/>
      <c r="C33" s="199" t="s">
        <v>295</v>
      </c>
      <c r="D33" s="173" t="s">
        <v>100</v>
      </c>
      <c r="E33" s="174"/>
      <c r="F33" s="176"/>
      <c r="G33" s="176"/>
      <c r="H33" s="176"/>
      <c r="I33" s="176"/>
      <c r="J33" s="176"/>
      <c r="K33" s="176"/>
      <c r="L33" s="176"/>
      <c r="M33" s="176">
        <v>1</v>
      </c>
      <c r="N33" s="176">
        <f>+M33*$N$11</f>
        <v>0</v>
      </c>
      <c r="O33" s="176"/>
      <c r="P33" s="200"/>
      <c r="Q33" s="176"/>
      <c r="R33" s="176"/>
      <c r="S33" s="176"/>
      <c r="T33" s="176"/>
      <c r="U33" s="176">
        <f t="shared" si="3"/>
        <v>0</v>
      </c>
      <c r="V33" s="178">
        <f t="shared" ref="V33" si="35">+ROUND(U33,1)</f>
        <v>0</v>
      </c>
      <c r="W33" s="179">
        <f>'A.P.U. 2024'!F214</f>
        <v>1859928.7617256809</v>
      </c>
      <c r="X33" s="179">
        <f>'A.P.U. 2024'!G214</f>
        <v>2141653.6461313376</v>
      </c>
      <c r="Y33" s="180">
        <f t="shared" ref="Y33" si="36">V33*W33</f>
        <v>0</v>
      </c>
      <c r="Z33" s="181">
        <f t="shared" ref="Z33" si="37">V33*X33</f>
        <v>0</v>
      </c>
      <c r="AA33" s="182">
        <f>'A.P.U. 2024'!G205</f>
        <v>1753394.4339091156</v>
      </c>
      <c r="AB33" s="183">
        <f>+AA33*V33</f>
        <v>0</v>
      </c>
      <c r="AC33" s="182">
        <f>'A.P.U. 2024'!G207+'A.P.U. 2024'!G208</f>
        <v>11093</v>
      </c>
      <c r="AD33" s="181">
        <f t="shared" si="7"/>
        <v>0</v>
      </c>
      <c r="AE33" s="180">
        <f>'A.P.U. 2024'!G209</f>
        <v>301806.66222222219</v>
      </c>
      <c r="AF33" s="179">
        <f t="shared" si="8"/>
        <v>0</v>
      </c>
      <c r="AG33" s="180">
        <f>'A.P.U. 2024'!F213</f>
        <v>75359.55</v>
      </c>
      <c r="AH33" s="180">
        <f t="shared" ref="AH33" si="38">+AG33*V33</f>
        <v>0</v>
      </c>
      <c r="AI33" s="647">
        <f t="shared" si="10"/>
        <v>0</v>
      </c>
      <c r="AJ33" s="604">
        <f>'A.P.U. 2024'!L210</f>
        <v>0</v>
      </c>
      <c r="AK33" s="605"/>
      <c r="AL33" s="605"/>
      <c r="AM33" s="766"/>
      <c r="AN33" s="766"/>
      <c r="AO33" s="766"/>
      <c r="AP33" s="766"/>
      <c r="AQ33" s="766"/>
      <c r="AR33" s="766"/>
      <c r="AS33" s="766"/>
      <c r="AT33" s="766"/>
      <c r="AU33" s="766"/>
      <c r="AV33" s="766"/>
      <c r="AW33" s="766"/>
      <c r="AX33" s="766"/>
      <c r="AY33" s="766"/>
      <c r="AZ33" s="766"/>
      <c r="BA33" s="766"/>
      <c r="BB33" s="766"/>
      <c r="BC33" s="766"/>
      <c r="BD33" s="766"/>
      <c r="BE33" s="766"/>
      <c r="BF33" s="766"/>
      <c r="BG33" s="766"/>
      <c r="BH33" s="766"/>
      <c r="BI33" s="766"/>
      <c r="BJ33" s="766"/>
      <c r="BK33" s="766"/>
      <c r="BL33" s="766"/>
      <c r="BM33" s="766"/>
      <c r="BN33" s="766"/>
      <c r="BO33" s="766"/>
      <c r="BP33" s="766"/>
      <c r="BQ33" s="766"/>
      <c r="BR33" s="766"/>
      <c r="BS33" s="766"/>
      <c r="BT33" s="766"/>
      <c r="BU33" s="766"/>
      <c r="BV33" s="766"/>
      <c r="BW33" s="766"/>
      <c r="BX33" s="766"/>
      <c r="BY33" s="766"/>
      <c r="BZ33" s="766"/>
      <c r="CA33" s="766"/>
      <c r="CB33" s="766"/>
      <c r="CC33" s="766"/>
      <c r="CD33" s="766"/>
      <c r="CE33" s="766"/>
      <c r="CF33" s="766"/>
      <c r="CG33" s="766"/>
      <c r="CH33" s="766"/>
      <c r="CI33" s="766"/>
      <c r="CJ33" s="766"/>
      <c r="CK33" s="766"/>
      <c r="CL33" s="766"/>
      <c r="CM33" s="766"/>
      <c r="CN33" s="766"/>
      <c r="CO33" s="766"/>
      <c r="CP33" s="766"/>
      <c r="CQ33" s="766"/>
      <c r="CR33" s="766"/>
      <c r="CS33" s="766"/>
      <c r="CT33" s="766"/>
      <c r="CU33" s="766"/>
      <c r="CV33" s="766"/>
      <c r="CW33" s="766"/>
      <c r="CX33" s="766"/>
      <c r="CY33" s="766"/>
      <c r="CZ33" s="766"/>
      <c r="DA33" s="766"/>
      <c r="DB33" s="766"/>
      <c r="DC33" s="766"/>
      <c r="DD33" s="766"/>
      <c r="DE33" s="766"/>
      <c r="DF33" s="766"/>
      <c r="DG33" s="766"/>
      <c r="DH33" s="766"/>
      <c r="DI33" s="766"/>
      <c r="DJ33" s="766"/>
      <c r="DK33" s="766"/>
      <c r="DL33" s="766"/>
      <c r="DM33" s="766"/>
      <c r="DN33" s="766"/>
      <c r="DO33" s="766"/>
      <c r="DP33" s="766"/>
      <c r="DQ33" s="766"/>
      <c r="DR33" s="766"/>
      <c r="DS33" s="766"/>
      <c r="DT33" s="766"/>
      <c r="DU33" s="766"/>
      <c r="DV33" s="766"/>
      <c r="DW33" s="766"/>
      <c r="DX33" s="766"/>
      <c r="DY33" s="766"/>
      <c r="DZ33" s="766"/>
      <c r="EA33" s="766"/>
      <c r="EB33" s="766"/>
      <c r="EC33" s="766"/>
      <c r="ED33" s="766"/>
      <c r="EE33" s="766"/>
      <c r="EF33" s="766"/>
      <c r="EG33" s="766"/>
      <c r="EH33" s="766"/>
      <c r="EI33" s="766"/>
      <c r="EJ33" s="766"/>
      <c r="EK33" s="766"/>
      <c r="EL33" s="766"/>
      <c r="EM33" s="766"/>
      <c r="EN33" s="766"/>
    </row>
    <row r="34" spans="1:144" s="184" customFormat="1" ht="125.25" customHeight="1">
      <c r="A34" s="170" t="e">
        <f>+A32+1</f>
        <v>#REF!</v>
      </c>
      <c r="B34" s="171" t="s">
        <v>289</v>
      </c>
      <c r="C34" s="199" t="str">
        <f>+'A.P.U. 2024'!A217</f>
        <v>sistema séptico y FAFA prefabricado en P.R.F.V (Poliéster Reforzado Con Fibra De Vidrio) con capacidad para atender una población de cuarenta y uno a cincuenta (41 a 50) habitantes, (incluye: accesorios internos, material filtrante para el FAFA que garanticen un área superficial de contacto ≥ 90m2/m3, tubería de PVC-S ø2" con accesorios y malla mosquitera doble. Volumen de 7,500-,8,000 litros.</v>
      </c>
      <c r="D34" s="173" t="s">
        <v>100</v>
      </c>
      <c r="E34" s="174"/>
      <c r="F34" s="176"/>
      <c r="G34" s="176"/>
      <c r="H34" s="176"/>
      <c r="I34" s="176"/>
      <c r="J34" s="176"/>
      <c r="K34" s="176"/>
      <c r="L34" s="176"/>
      <c r="M34" s="176"/>
      <c r="N34" s="176"/>
      <c r="O34" s="176">
        <v>1</v>
      </c>
      <c r="P34" s="200">
        <f>+O34*$P$8</f>
        <v>1</v>
      </c>
      <c r="Q34" s="176"/>
      <c r="R34" s="176"/>
      <c r="S34" s="176"/>
      <c r="T34" s="176"/>
      <c r="U34" s="176">
        <f t="shared" si="3"/>
        <v>1</v>
      </c>
      <c r="V34" s="178">
        <f t="shared" si="4"/>
        <v>1</v>
      </c>
      <c r="W34" s="179">
        <f>+'A.P.U. 2024'!F226</f>
        <v>18086347.475800164</v>
      </c>
      <c r="X34" s="179">
        <f>+'A.P.U. 2024'!G226</f>
        <v>21125481.564749811</v>
      </c>
      <c r="Y34" s="180">
        <f t="shared" si="1"/>
        <v>18086347.475800164</v>
      </c>
      <c r="Z34" s="181">
        <f t="shared" si="2"/>
        <v>21125481.564749811</v>
      </c>
      <c r="AA34" s="182">
        <f>+'A.P.U. 2024'!G217</f>
        <v>19019455.16236886</v>
      </c>
      <c r="AB34" s="183">
        <f t="shared" si="28"/>
        <v>19019455.16236886</v>
      </c>
      <c r="AC34" s="182">
        <f>+'A.P.U. 2024'!G220+'A.P.U. 2024'!G218</f>
        <v>15121.5</v>
      </c>
      <c r="AD34" s="181">
        <f t="shared" si="7"/>
        <v>15121.5</v>
      </c>
      <c r="AE34" s="180">
        <f>+'A.P.U. 2024'!G222</f>
        <v>1320630.1523809521</v>
      </c>
      <c r="AF34" s="179">
        <f t="shared" si="8"/>
        <v>1320630.1523809521</v>
      </c>
      <c r="AG34" s="180">
        <f>+'A.P.U. 2024'!G223+'A.P.U. 2024'!G224</f>
        <v>770274.75</v>
      </c>
      <c r="AH34" s="180">
        <f t="shared" si="9"/>
        <v>770274.75</v>
      </c>
      <c r="AI34" s="647">
        <f t="shared" si="10"/>
        <v>21125481.564749811</v>
      </c>
      <c r="AJ34" s="604">
        <f>+'A.P.U. 2024'!L217</f>
        <v>3039134.0889496487</v>
      </c>
      <c r="AK34" s="605"/>
      <c r="AL34" s="605"/>
      <c r="AM34" s="766"/>
      <c r="AN34" s="766"/>
      <c r="AO34" s="766"/>
      <c r="AP34" s="766"/>
      <c r="AQ34" s="766"/>
      <c r="AR34" s="766"/>
      <c r="AS34" s="766"/>
      <c r="AT34" s="766"/>
      <c r="AU34" s="766"/>
      <c r="AV34" s="766"/>
      <c r="AW34" s="766"/>
      <c r="AX34" s="766"/>
      <c r="AY34" s="766"/>
      <c r="AZ34" s="766"/>
      <c r="BA34" s="766"/>
      <c r="BB34" s="766"/>
      <c r="BC34" s="766"/>
      <c r="BD34" s="766"/>
      <c r="BE34" s="766"/>
      <c r="BF34" s="766"/>
      <c r="BG34" s="766"/>
      <c r="BH34" s="766"/>
      <c r="BI34" s="766"/>
      <c r="BJ34" s="766"/>
      <c r="BK34" s="766"/>
      <c r="BL34" s="766"/>
      <c r="BM34" s="766"/>
      <c r="BN34" s="766"/>
      <c r="BO34" s="766"/>
      <c r="BP34" s="766"/>
      <c r="BQ34" s="766"/>
      <c r="BR34" s="766"/>
      <c r="BS34" s="766"/>
      <c r="BT34" s="766"/>
      <c r="BU34" s="766"/>
      <c r="BV34" s="766"/>
      <c r="BW34" s="766"/>
      <c r="BX34" s="766"/>
      <c r="BY34" s="766"/>
      <c r="BZ34" s="766"/>
      <c r="CA34" s="766"/>
      <c r="CB34" s="766"/>
      <c r="CC34" s="766"/>
      <c r="CD34" s="766"/>
      <c r="CE34" s="766"/>
      <c r="CF34" s="766"/>
      <c r="CG34" s="766"/>
      <c r="CH34" s="766"/>
      <c r="CI34" s="766"/>
      <c r="CJ34" s="766"/>
      <c r="CK34" s="766"/>
      <c r="CL34" s="766"/>
      <c r="CM34" s="766"/>
      <c r="CN34" s="766"/>
      <c r="CO34" s="766"/>
      <c r="CP34" s="766"/>
      <c r="CQ34" s="766"/>
      <c r="CR34" s="766"/>
      <c r="CS34" s="766"/>
      <c r="CT34" s="766"/>
      <c r="CU34" s="766"/>
      <c r="CV34" s="766"/>
      <c r="CW34" s="766"/>
      <c r="CX34" s="766"/>
      <c r="CY34" s="766"/>
      <c r="CZ34" s="766"/>
      <c r="DA34" s="766"/>
      <c r="DB34" s="766"/>
      <c r="DC34" s="766"/>
      <c r="DD34" s="766"/>
      <c r="DE34" s="766"/>
      <c r="DF34" s="766"/>
      <c r="DG34" s="766"/>
      <c r="DH34" s="766"/>
      <c r="DI34" s="766"/>
      <c r="DJ34" s="766"/>
      <c r="DK34" s="766"/>
      <c r="DL34" s="766"/>
      <c r="DM34" s="766"/>
      <c r="DN34" s="766"/>
      <c r="DO34" s="766"/>
      <c r="DP34" s="766"/>
      <c r="DQ34" s="766"/>
      <c r="DR34" s="766"/>
      <c r="DS34" s="766"/>
      <c r="DT34" s="766"/>
      <c r="DU34" s="766"/>
      <c r="DV34" s="766"/>
      <c r="DW34" s="766"/>
      <c r="DX34" s="766"/>
      <c r="DY34" s="766"/>
      <c r="DZ34" s="766"/>
      <c r="EA34" s="766"/>
      <c r="EB34" s="766"/>
      <c r="EC34" s="766"/>
      <c r="ED34" s="766"/>
      <c r="EE34" s="766"/>
      <c r="EF34" s="766"/>
      <c r="EG34" s="766"/>
      <c r="EH34" s="766"/>
      <c r="EI34" s="766"/>
      <c r="EJ34" s="766"/>
      <c r="EK34" s="766"/>
      <c r="EL34" s="766"/>
      <c r="EM34" s="766"/>
      <c r="EN34" s="766"/>
    </row>
    <row r="35" spans="1:144" s="184" customFormat="1" ht="125.25" customHeight="1">
      <c r="A35" s="170"/>
      <c r="B35" s="171"/>
      <c r="C35" s="199" t="s">
        <v>296</v>
      </c>
      <c r="D35" s="173" t="s">
        <v>100</v>
      </c>
      <c r="E35" s="174"/>
      <c r="F35" s="176"/>
      <c r="G35" s="176"/>
      <c r="H35" s="176"/>
      <c r="I35" s="176"/>
      <c r="J35" s="176"/>
      <c r="K35" s="176"/>
      <c r="L35" s="176"/>
      <c r="M35" s="176"/>
      <c r="N35" s="176"/>
      <c r="O35" s="176">
        <v>1</v>
      </c>
      <c r="P35" s="200">
        <f>+O35*$P$11</f>
        <v>1</v>
      </c>
      <c r="Q35" s="176"/>
      <c r="R35" s="176"/>
      <c r="S35" s="176"/>
      <c r="T35" s="176"/>
      <c r="U35" s="176">
        <f t="shared" si="3"/>
        <v>1</v>
      </c>
      <c r="V35" s="178">
        <f t="shared" ref="V35" si="39">+ROUND(U35,1)</f>
        <v>1</v>
      </c>
      <c r="W35" s="179">
        <f>'A.P.U. 2024'!F238</f>
        <v>2178749.6055266559</v>
      </c>
      <c r="X35" s="179">
        <f>'A.P.U. 2024'!G238</f>
        <v>2521050.450254498</v>
      </c>
      <c r="Y35" s="180">
        <f t="shared" ref="Y35" si="40">V35*W35</f>
        <v>2178749.6055266559</v>
      </c>
      <c r="Z35" s="181">
        <f t="shared" ref="Z35" si="41">V35*X35</f>
        <v>2521050.450254498</v>
      </c>
      <c r="AA35" s="182">
        <f>'A.P.U. 2024'!G229</f>
        <v>2132791.2380322758</v>
      </c>
      <c r="AB35" s="183">
        <f t="shared" si="28"/>
        <v>2132791.2380322758</v>
      </c>
      <c r="AC35" s="182">
        <f>'A.P.U. 2024'!G231+'A.P.U. 2024'!G232</f>
        <v>11093</v>
      </c>
      <c r="AD35" s="181">
        <f t="shared" si="7"/>
        <v>11093</v>
      </c>
      <c r="AE35" s="180">
        <f>'A.P.U. 2024'!G233</f>
        <v>301806.66222222219</v>
      </c>
      <c r="AF35" s="179">
        <f t="shared" si="8"/>
        <v>301806.66222222219</v>
      </c>
      <c r="AG35" s="180">
        <f>'A.P.U. 2024'!F237</f>
        <v>75359.55</v>
      </c>
      <c r="AH35" s="180">
        <f t="shared" ref="AH35" si="42">+AG35*V35</f>
        <v>75359.55</v>
      </c>
      <c r="AI35" s="647">
        <f t="shared" si="10"/>
        <v>2521050.450254498</v>
      </c>
      <c r="AJ35" s="604">
        <f>'A.P.U. 2024'!L234</f>
        <v>342300.84472784214</v>
      </c>
      <c r="AK35" s="605"/>
      <c r="AL35" s="605"/>
      <c r="AM35" s="766"/>
      <c r="AN35" s="766"/>
      <c r="AO35" s="766"/>
      <c r="AP35" s="766"/>
      <c r="AQ35" s="766"/>
      <c r="AR35" s="766"/>
      <c r="AS35" s="766"/>
      <c r="AT35" s="766"/>
      <c r="AU35" s="766"/>
      <c r="AV35" s="766"/>
      <c r="AW35" s="766"/>
      <c r="AX35" s="766"/>
      <c r="AY35" s="766"/>
      <c r="AZ35" s="766"/>
      <c r="BA35" s="766"/>
      <c r="BB35" s="766"/>
      <c r="BC35" s="766"/>
      <c r="BD35" s="766"/>
      <c r="BE35" s="766"/>
      <c r="BF35" s="766"/>
      <c r="BG35" s="766"/>
      <c r="BH35" s="766"/>
      <c r="BI35" s="766"/>
      <c r="BJ35" s="766"/>
      <c r="BK35" s="766"/>
      <c r="BL35" s="766"/>
      <c r="BM35" s="766"/>
      <c r="BN35" s="766"/>
      <c r="BO35" s="766"/>
      <c r="BP35" s="766"/>
      <c r="BQ35" s="766"/>
      <c r="BR35" s="766"/>
      <c r="BS35" s="766"/>
      <c r="BT35" s="766"/>
      <c r="BU35" s="766"/>
      <c r="BV35" s="766"/>
      <c r="BW35" s="766"/>
      <c r="BX35" s="766"/>
      <c r="BY35" s="766"/>
      <c r="BZ35" s="766"/>
      <c r="CA35" s="766"/>
      <c r="CB35" s="766"/>
      <c r="CC35" s="766"/>
      <c r="CD35" s="766"/>
      <c r="CE35" s="766"/>
      <c r="CF35" s="766"/>
      <c r="CG35" s="766"/>
      <c r="CH35" s="766"/>
      <c r="CI35" s="766"/>
      <c r="CJ35" s="766"/>
      <c r="CK35" s="766"/>
      <c r="CL35" s="766"/>
      <c r="CM35" s="766"/>
      <c r="CN35" s="766"/>
      <c r="CO35" s="766"/>
      <c r="CP35" s="766"/>
      <c r="CQ35" s="766"/>
      <c r="CR35" s="766"/>
      <c r="CS35" s="766"/>
      <c r="CT35" s="766"/>
      <c r="CU35" s="766"/>
      <c r="CV35" s="766"/>
      <c r="CW35" s="766"/>
      <c r="CX35" s="766"/>
      <c r="CY35" s="766"/>
      <c r="CZ35" s="766"/>
      <c r="DA35" s="766"/>
      <c r="DB35" s="766"/>
      <c r="DC35" s="766"/>
      <c r="DD35" s="766"/>
      <c r="DE35" s="766"/>
      <c r="DF35" s="766"/>
      <c r="DG35" s="766"/>
      <c r="DH35" s="766"/>
      <c r="DI35" s="766"/>
      <c r="DJ35" s="766"/>
      <c r="DK35" s="766"/>
      <c r="DL35" s="766"/>
      <c r="DM35" s="766"/>
      <c r="DN35" s="766"/>
      <c r="DO35" s="766"/>
      <c r="DP35" s="766"/>
      <c r="DQ35" s="766"/>
      <c r="DR35" s="766"/>
      <c r="DS35" s="766"/>
      <c r="DT35" s="766"/>
      <c r="DU35" s="766"/>
      <c r="DV35" s="766"/>
      <c r="DW35" s="766"/>
      <c r="DX35" s="766"/>
      <c r="DY35" s="766"/>
      <c r="DZ35" s="766"/>
      <c r="EA35" s="766"/>
      <c r="EB35" s="766"/>
      <c r="EC35" s="766"/>
      <c r="ED35" s="766"/>
      <c r="EE35" s="766"/>
      <c r="EF35" s="766"/>
      <c r="EG35" s="766"/>
      <c r="EH35" s="766"/>
      <c r="EI35" s="766"/>
      <c r="EJ35" s="766"/>
      <c r="EK35" s="766"/>
      <c r="EL35" s="766"/>
      <c r="EM35" s="766"/>
      <c r="EN35" s="766"/>
    </row>
    <row r="36" spans="1:144" s="184" customFormat="1" ht="120.75" customHeight="1">
      <c r="A36" s="170"/>
      <c r="B36" s="171"/>
      <c r="C36" s="199" t="str">
        <f>+'A.P.U. 2024'!A240</f>
        <v>sistema séptico y FAFA prefabricado en P.R.F.V (Poliéster Reforzado Con Fibra De Vidrio) con capacidad para atender una población de cincuenta y uno a setenta (51 a 70) habitantes, (incluye: accesorios internos, material filtrante para el FAFA que garanticen un área superficial de contacto ≥ 90m2/m3, tubería de PVC-S ø2" con accesorios y malla mosquitera doble. Volumen de 10,000-12,000 litros.</v>
      </c>
      <c r="D36" s="173" t="s">
        <v>100</v>
      </c>
      <c r="E36" s="174"/>
      <c r="F36" s="176"/>
      <c r="G36" s="176"/>
      <c r="H36" s="176"/>
      <c r="I36" s="176"/>
      <c r="J36" s="176"/>
      <c r="K36" s="176"/>
      <c r="L36" s="176"/>
      <c r="M36" s="176"/>
      <c r="N36" s="176"/>
      <c r="O36" s="176"/>
      <c r="P36" s="200"/>
      <c r="Q36" s="176">
        <v>1</v>
      </c>
      <c r="R36" s="176">
        <f>+Q36*$R$8</f>
        <v>0</v>
      </c>
      <c r="S36" s="176"/>
      <c r="T36" s="176"/>
      <c r="U36" s="176">
        <f t="shared" si="3"/>
        <v>0</v>
      </c>
      <c r="V36" s="178">
        <f t="shared" ref="V36:V41" si="43">+ROUND(U36,1)</f>
        <v>0</v>
      </c>
      <c r="W36" s="179">
        <f>+'A.P.U. 2024'!F249</f>
        <v>19539740.142857142</v>
      </c>
      <c r="X36" s="179">
        <f>+'A.P.U. 2024'!G249</f>
        <v>23057154.5</v>
      </c>
      <c r="Y36" s="180">
        <f t="shared" si="1"/>
        <v>0</v>
      </c>
      <c r="Z36" s="181">
        <f t="shared" si="2"/>
        <v>0</v>
      </c>
      <c r="AA36" s="182">
        <f>+'A.P.U. 2024'!G240</f>
        <v>22015000</v>
      </c>
      <c r="AB36" s="183">
        <f t="shared" si="28"/>
        <v>0</v>
      </c>
      <c r="AC36" s="182">
        <f>+'A.P.U. 2024'!G243+'A.P.U. 2024'!G241</f>
        <v>15121.5</v>
      </c>
      <c r="AD36" s="181">
        <f t="shared" si="7"/>
        <v>0</v>
      </c>
      <c r="AE36" s="180">
        <f>+'A.P.U. 2024'!G245</f>
        <v>0</v>
      </c>
      <c r="AF36" s="179">
        <f t="shared" si="8"/>
        <v>0</v>
      </c>
      <c r="AG36" s="180">
        <f>+'A.P.U. 2024'!G246+'A.P.U. 2024'!G247</f>
        <v>1027033.0000000001</v>
      </c>
      <c r="AH36" s="180">
        <f t="shared" si="9"/>
        <v>0</v>
      </c>
      <c r="AI36" s="647">
        <f t="shared" si="10"/>
        <v>0</v>
      </c>
      <c r="AJ36" s="604">
        <f>+'A.P.U. 2024'!L240</f>
        <v>0</v>
      </c>
      <c r="AK36" s="605"/>
      <c r="AL36" s="605"/>
      <c r="AM36" s="766"/>
      <c r="AN36" s="766"/>
      <c r="AO36" s="766"/>
      <c r="AP36" s="766"/>
      <c r="AQ36" s="766"/>
      <c r="AR36" s="766"/>
      <c r="AS36" s="766"/>
      <c r="AT36" s="766"/>
      <c r="AU36" s="766"/>
      <c r="AV36" s="766"/>
      <c r="AW36" s="766"/>
      <c r="AX36" s="766"/>
      <c r="AY36" s="766"/>
      <c r="AZ36" s="766"/>
      <c r="BA36" s="766"/>
      <c r="BB36" s="766"/>
      <c r="BC36" s="766"/>
      <c r="BD36" s="766"/>
      <c r="BE36" s="766"/>
      <c r="BF36" s="766"/>
      <c r="BG36" s="766"/>
      <c r="BH36" s="766"/>
      <c r="BI36" s="766"/>
      <c r="BJ36" s="766"/>
      <c r="BK36" s="766"/>
      <c r="BL36" s="766"/>
      <c r="BM36" s="766"/>
      <c r="BN36" s="766"/>
      <c r="BO36" s="766"/>
      <c r="BP36" s="766"/>
      <c r="BQ36" s="766"/>
      <c r="BR36" s="766"/>
      <c r="BS36" s="766"/>
      <c r="BT36" s="766"/>
      <c r="BU36" s="766"/>
      <c r="BV36" s="766"/>
      <c r="BW36" s="766"/>
      <c r="BX36" s="766"/>
      <c r="BY36" s="766"/>
      <c r="BZ36" s="766"/>
      <c r="CA36" s="766"/>
      <c r="CB36" s="766"/>
      <c r="CC36" s="766"/>
      <c r="CD36" s="766"/>
      <c r="CE36" s="766"/>
      <c r="CF36" s="766"/>
      <c r="CG36" s="766"/>
      <c r="CH36" s="766"/>
      <c r="CI36" s="766"/>
      <c r="CJ36" s="766"/>
      <c r="CK36" s="766"/>
      <c r="CL36" s="766"/>
      <c r="CM36" s="766"/>
      <c r="CN36" s="766"/>
      <c r="CO36" s="766"/>
      <c r="CP36" s="766"/>
      <c r="CQ36" s="766"/>
      <c r="CR36" s="766"/>
      <c r="CS36" s="766"/>
      <c r="CT36" s="766"/>
      <c r="CU36" s="766"/>
      <c r="CV36" s="766"/>
      <c r="CW36" s="766"/>
      <c r="CX36" s="766"/>
      <c r="CY36" s="766"/>
      <c r="CZ36" s="766"/>
      <c r="DA36" s="766"/>
      <c r="DB36" s="766"/>
      <c r="DC36" s="766"/>
      <c r="DD36" s="766"/>
      <c r="DE36" s="766"/>
      <c r="DF36" s="766"/>
      <c r="DG36" s="766"/>
      <c r="DH36" s="766"/>
      <c r="DI36" s="766"/>
      <c r="DJ36" s="766"/>
      <c r="DK36" s="766"/>
      <c r="DL36" s="766"/>
      <c r="DM36" s="766"/>
      <c r="DN36" s="766"/>
      <c r="DO36" s="766"/>
      <c r="DP36" s="766"/>
      <c r="DQ36" s="766"/>
      <c r="DR36" s="766"/>
      <c r="DS36" s="766"/>
      <c r="DT36" s="766"/>
      <c r="DU36" s="766"/>
      <c r="DV36" s="766"/>
      <c r="DW36" s="766"/>
      <c r="DX36" s="766"/>
      <c r="DY36" s="766"/>
      <c r="DZ36" s="766"/>
      <c r="EA36" s="766"/>
      <c r="EB36" s="766"/>
      <c r="EC36" s="766"/>
      <c r="ED36" s="766"/>
      <c r="EE36" s="766"/>
      <c r="EF36" s="766"/>
      <c r="EG36" s="766"/>
      <c r="EH36" s="766"/>
      <c r="EI36" s="766"/>
      <c r="EJ36" s="766"/>
      <c r="EK36" s="766"/>
      <c r="EL36" s="766"/>
      <c r="EM36" s="766"/>
      <c r="EN36" s="766"/>
    </row>
    <row r="37" spans="1:144" s="184" customFormat="1" ht="89.65" customHeight="1">
      <c r="A37" s="170"/>
      <c r="B37" s="171"/>
      <c r="C37" s="199" t="s">
        <v>297</v>
      </c>
      <c r="D37" s="173" t="s">
        <v>100</v>
      </c>
      <c r="E37" s="174"/>
      <c r="F37" s="176"/>
      <c r="G37" s="176"/>
      <c r="H37" s="176"/>
      <c r="I37" s="176"/>
      <c r="J37" s="176"/>
      <c r="K37" s="176"/>
      <c r="L37" s="176"/>
      <c r="M37" s="176"/>
      <c r="N37" s="176"/>
      <c r="O37" s="176"/>
      <c r="P37" s="200"/>
      <c r="Q37" s="176">
        <v>1</v>
      </c>
      <c r="R37" s="176">
        <f>+Q37*$R$11</f>
        <v>0</v>
      </c>
      <c r="S37" s="176"/>
      <c r="T37" s="176"/>
      <c r="U37" s="176">
        <f t="shared" si="3"/>
        <v>0</v>
      </c>
      <c r="V37" s="178">
        <f t="shared" si="43"/>
        <v>0</v>
      </c>
      <c r="W37" s="179">
        <f>'A.P.U. 2024'!F261</f>
        <v>2165832.2655267958</v>
      </c>
      <c r="X37" s="179">
        <f>'A.P.U. 2024'!G261</f>
        <v>2505678.8156546643</v>
      </c>
      <c r="Y37" s="180">
        <f t="shared" ref="Y37" si="44">V37*W37</f>
        <v>0</v>
      </c>
      <c r="Z37" s="181">
        <f t="shared" ref="Z37" si="45">V37*X37</f>
        <v>0</v>
      </c>
      <c r="AA37" s="182">
        <f>'A.P.U. 2024'!G252</f>
        <v>2117419.6034324421</v>
      </c>
      <c r="AB37" s="183">
        <f t="shared" si="28"/>
        <v>0</v>
      </c>
      <c r="AC37" s="182">
        <f>'A.P.U. 2024'!G254+'A.P.U. 2024'!G255</f>
        <v>11093</v>
      </c>
      <c r="AD37" s="181">
        <f t="shared" si="7"/>
        <v>0</v>
      </c>
      <c r="AE37" s="180">
        <f>'A.P.U. 2024'!G256</f>
        <v>301806.66222222219</v>
      </c>
      <c r="AF37" s="179">
        <f t="shared" si="8"/>
        <v>0</v>
      </c>
      <c r="AG37" s="180">
        <f>'A.P.U. 2024'!F260</f>
        <v>75359.55</v>
      </c>
      <c r="AH37" s="180">
        <f t="shared" ref="AH37" si="46">+AG37*V37</f>
        <v>0</v>
      </c>
      <c r="AI37" s="647">
        <f t="shared" si="10"/>
        <v>0</v>
      </c>
      <c r="AJ37" s="604">
        <f>'A.P.U. 2024'!L257</f>
        <v>0</v>
      </c>
      <c r="AK37" s="605"/>
      <c r="AL37" s="605"/>
      <c r="AM37" s="766"/>
      <c r="AN37" s="766"/>
      <c r="AO37" s="766"/>
      <c r="AP37" s="766"/>
      <c r="AQ37" s="766"/>
      <c r="AR37" s="766"/>
      <c r="AS37" s="766"/>
      <c r="AT37" s="766"/>
      <c r="AU37" s="766"/>
      <c r="AV37" s="766"/>
      <c r="AW37" s="766"/>
      <c r="AX37" s="766"/>
      <c r="AY37" s="766"/>
      <c r="AZ37" s="766"/>
      <c r="BA37" s="766"/>
      <c r="BB37" s="766"/>
      <c r="BC37" s="766"/>
      <c r="BD37" s="766"/>
      <c r="BE37" s="766"/>
      <c r="BF37" s="766"/>
      <c r="BG37" s="766"/>
      <c r="BH37" s="766"/>
      <c r="BI37" s="766"/>
      <c r="BJ37" s="766"/>
      <c r="BK37" s="766"/>
      <c r="BL37" s="766"/>
      <c r="BM37" s="766"/>
      <c r="BN37" s="766"/>
      <c r="BO37" s="766"/>
      <c r="BP37" s="766"/>
      <c r="BQ37" s="766"/>
      <c r="BR37" s="766"/>
      <c r="BS37" s="766"/>
      <c r="BT37" s="766"/>
      <c r="BU37" s="766"/>
      <c r="BV37" s="766"/>
      <c r="BW37" s="766"/>
      <c r="BX37" s="766"/>
      <c r="BY37" s="766"/>
      <c r="BZ37" s="766"/>
      <c r="CA37" s="766"/>
      <c r="CB37" s="766"/>
      <c r="CC37" s="766"/>
      <c r="CD37" s="766"/>
      <c r="CE37" s="766"/>
      <c r="CF37" s="766"/>
      <c r="CG37" s="766"/>
      <c r="CH37" s="766"/>
      <c r="CI37" s="766"/>
      <c r="CJ37" s="766"/>
      <c r="CK37" s="766"/>
      <c r="CL37" s="766"/>
      <c r="CM37" s="766"/>
      <c r="CN37" s="766"/>
      <c r="CO37" s="766"/>
      <c r="CP37" s="766"/>
      <c r="CQ37" s="766"/>
      <c r="CR37" s="766"/>
      <c r="CS37" s="766"/>
      <c r="CT37" s="766"/>
      <c r="CU37" s="766"/>
      <c r="CV37" s="766"/>
      <c r="CW37" s="766"/>
      <c r="CX37" s="766"/>
      <c r="CY37" s="766"/>
      <c r="CZ37" s="766"/>
      <c r="DA37" s="766"/>
      <c r="DB37" s="766"/>
      <c r="DC37" s="766"/>
      <c r="DD37" s="766"/>
      <c r="DE37" s="766"/>
      <c r="DF37" s="766"/>
      <c r="DG37" s="766"/>
      <c r="DH37" s="766"/>
      <c r="DI37" s="766"/>
      <c r="DJ37" s="766"/>
      <c r="DK37" s="766"/>
      <c r="DL37" s="766"/>
      <c r="DM37" s="766"/>
      <c r="DN37" s="766"/>
      <c r="DO37" s="766"/>
      <c r="DP37" s="766"/>
      <c r="DQ37" s="766"/>
      <c r="DR37" s="766"/>
      <c r="DS37" s="766"/>
      <c r="DT37" s="766"/>
      <c r="DU37" s="766"/>
      <c r="DV37" s="766"/>
      <c r="DW37" s="766"/>
      <c r="DX37" s="766"/>
      <c r="DY37" s="766"/>
      <c r="DZ37" s="766"/>
      <c r="EA37" s="766"/>
      <c r="EB37" s="766"/>
      <c r="EC37" s="766"/>
      <c r="ED37" s="766"/>
      <c r="EE37" s="766"/>
      <c r="EF37" s="766"/>
      <c r="EG37" s="766"/>
      <c r="EH37" s="766"/>
      <c r="EI37" s="766"/>
      <c r="EJ37" s="766"/>
      <c r="EK37" s="766"/>
      <c r="EL37" s="766"/>
      <c r="EM37" s="766"/>
      <c r="EN37" s="766"/>
    </row>
    <row r="38" spans="1:144" s="184" customFormat="1" ht="120.75" customHeight="1">
      <c r="A38" s="170"/>
      <c r="B38" s="171"/>
      <c r="C38" s="199" t="str">
        <f>+'A.P.U. 2024'!A264</f>
        <v>Suministro sistema séptico y FAFA prefabricado en P.R.F.V (Poliéster Reforzado Con Fibra De Vidrio) con capacidad para atender una población de setenta y uno a noventa (71 a 90) habitantes, (incluye: accesorios internos, material filtrante para el FAFA que garanticen un área superficial de contacto ≥ 90m2/m3, tubería de PVC-S ø2" con accesorios y malla mosquitera doble. Volumen &gt; 12,000 litros.</v>
      </c>
      <c r="D38" s="173" t="s">
        <v>100</v>
      </c>
      <c r="E38" s="174"/>
      <c r="F38" s="176"/>
      <c r="G38" s="176"/>
      <c r="H38" s="176"/>
      <c r="I38" s="176"/>
      <c r="J38" s="176"/>
      <c r="K38" s="176"/>
      <c r="L38" s="176"/>
      <c r="M38" s="176"/>
      <c r="N38" s="176"/>
      <c r="O38" s="176"/>
      <c r="P38" s="200"/>
      <c r="Q38" s="176"/>
      <c r="R38" s="176"/>
      <c r="S38" s="176">
        <v>1</v>
      </c>
      <c r="T38" s="176">
        <f>+S38*$T$8</f>
        <v>0</v>
      </c>
      <c r="U38" s="176">
        <f t="shared" ref="U38" si="47">+F38+H38+J38+L38+N38+P38+R38+T38</f>
        <v>0</v>
      </c>
      <c r="V38" s="178">
        <f t="shared" si="43"/>
        <v>0</v>
      </c>
      <c r="W38" s="179">
        <f>+'A.P.U. 2024'!F273</f>
        <v>22099027.253853589</v>
      </c>
      <c r="X38" s="179">
        <f>+'A.P.U. 2024'!G273</f>
        <v>26102706.162085772</v>
      </c>
      <c r="Y38" s="180">
        <f t="shared" si="1"/>
        <v>0</v>
      </c>
      <c r="Z38" s="181">
        <f t="shared" si="2"/>
        <v>0</v>
      </c>
      <c r="AA38" s="182">
        <f>+'A.P.U. 2024'!G264</f>
        <v>25060551.662085772</v>
      </c>
      <c r="AB38" s="183">
        <f>+AA38*V38</f>
        <v>0</v>
      </c>
      <c r="AC38" s="182">
        <f>+'A.P.U. 2024'!G267</f>
        <v>0</v>
      </c>
      <c r="AD38" s="181">
        <f>+AC38*V38</f>
        <v>0</v>
      </c>
      <c r="AE38" s="180">
        <f>+'A.P.U. 2024'!G269</f>
        <v>0</v>
      </c>
      <c r="AF38" s="179">
        <f>+AE38*V38</f>
        <v>0</v>
      </c>
      <c r="AG38" s="180">
        <f>+'A.P.U. 2024'!G270+'A.P.U. 2024'!G271</f>
        <v>1027033.0000000001</v>
      </c>
      <c r="AH38" s="180">
        <f>+AG38*V38</f>
        <v>0</v>
      </c>
      <c r="AI38" s="647">
        <f t="shared" si="10"/>
        <v>0</v>
      </c>
      <c r="AJ38" s="604">
        <f>+'A.P.U. 2024'!L264</f>
        <v>0</v>
      </c>
      <c r="AK38" s="605"/>
      <c r="AL38" s="605"/>
      <c r="AM38" s="766"/>
      <c r="AN38" s="766"/>
      <c r="AO38" s="766"/>
      <c r="AP38" s="766"/>
      <c r="AQ38" s="766"/>
      <c r="AR38" s="766"/>
      <c r="AS38" s="766"/>
      <c r="AT38" s="766"/>
      <c r="AU38" s="766"/>
      <c r="AV38" s="766"/>
      <c r="AW38" s="766"/>
      <c r="AX38" s="766"/>
      <c r="AY38" s="766"/>
      <c r="AZ38" s="766"/>
      <c r="BA38" s="766"/>
      <c r="BB38" s="766"/>
      <c r="BC38" s="766"/>
      <c r="BD38" s="766"/>
      <c r="BE38" s="766"/>
      <c r="BF38" s="766"/>
      <c r="BG38" s="766"/>
      <c r="BH38" s="766"/>
      <c r="BI38" s="766"/>
      <c r="BJ38" s="766"/>
      <c r="BK38" s="766"/>
      <c r="BL38" s="766"/>
      <c r="BM38" s="766"/>
      <c r="BN38" s="766"/>
      <c r="BO38" s="766"/>
      <c r="BP38" s="766"/>
      <c r="BQ38" s="766"/>
      <c r="BR38" s="766"/>
      <c r="BS38" s="766"/>
      <c r="BT38" s="766"/>
      <c r="BU38" s="766"/>
      <c r="BV38" s="766"/>
      <c r="BW38" s="766"/>
      <c r="BX38" s="766"/>
      <c r="BY38" s="766"/>
      <c r="BZ38" s="766"/>
      <c r="CA38" s="766"/>
      <c r="CB38" s="766"/>
      <c r="CC38" s="766"/>
      <c r="CD38" s="766"/>
      <c r="CE38" s="766"/>
      <c r="CF38" s="766"/>
      <c r="CG38" s="766"/>
      <c r="CH38" s="766"/>
      <c r="CI38" s="766"/>
      <c r="CJ38" s="766"/>
      <c r="CK38" s="766"/>
      <c r="CL38" s="766"/>
      <c r="CM38" s="766"/>
      <c r="CN38" s="766"/>
      <c r="CO38" s="766"/>
      <c r="CP38" s="766"/>
      <c r="CQ38" s="766"/>
      <c r="CR38" s="766"/>
      <c r="CS38" s="766"/>
      <c r="CT38" s="766"/>
      <c r="CU38" s="766"/>
      <c r="CV38" s="766"/>
      <c r="CW38" s="766"/>
      <c r="CX38" s="766"/>
      <c r="CY38" s="766"/>
      <c r="CZ38" s="766"/>
      <c r="DA38" s="766"/>
      <c r="DB38" s="766"/>
      <c r="DC38" s="766"/>
      <c r="DD38" s="766"/>
      <c r="DE38" s="766"/>
      <c r="DF38" s="766"/>
      <c r="DG38" s="766"/>
      <c r="DH38" s="766"/>
      <c r="DI38" s="766"/>
      <c r="DJ38" s="766"/>
      <c r="DK38" s="766"/>
      <c r="DL38" s="766"/>
      <c r="DM38" s="766"/>
      <c r="DN38" s="766"/>
      <c r="DO38" s="766"/>
      <c r="DP38" s="766"/>
      <c r="DQ38" s="766"/>
      <c r="DR38" s="766"/>
      <c r="DS38" s="766"/>
      <c r="DT38" s="766"/>
      <c r="DU38" s="766"/>
      <c r="DV38" s="766"/>
      <c r="DW38" s="766"/>
      <c r="DX38" s="766"/>
      <c r="DY38" s="766"/>
      <c r="DZ38" s="766"/>
      <c r="EA38" s="766"/>
      <c r="EB38" s="766"/>
      <c r="EC38" s="766"/>
      <c r="ED38" s="766"/>
      <c r="EE38" s="766"/>
      <c r="EF38" s="766"/>
      <c r="EG38" s="766"/>
      <c r="EH38" s="766"/>
      <c r="EI38" s="766"/>
      <c r="EJ38" s="766"/>
      <c r="EK38" s="766"/>
      <c r="EL38" s="766"/>
      <c r="EM38" s="766"/>
      <c r="EN38" s="766"/>
    </row>
    <row r="39" spans="1:144" s="184" customFormat="1" ht="67.5" customHeight="1">
      <c r="A39" s="170"/>
      <c r="B39" s="171"/>
      <c r="C39" s="199" t="s">
        <v>298</v>
      </c>
      <c r="D39" s="630" t="s">
        <v>100</v>
      </c>
      <c r="E39" s="176"/>
      <c r="F39" s="176"/>
      <c r="G39" s="176"/>
      <c r="H39" s="176"/>
      <c r="I39" s="176"/>
      <c r="J39" s="176"/>
      <c r="K39" s="176"/>
      <c r="L39" s="176"/>
      <c r="M39" s="176"/>
      <c r="N39" s="176"/>
      <c r="O39" s="176"/>
      <c r="P39" s="200"/>
      <c r="Q39" s="176"/>
      <c r="R39" s="176"/>
      <c r="S39" s="176">
        <v>1</v>
      </c>
      <c r="T39" s="176">
        <f>+S39*$T$11</f>
        <v>0</v>
      </c>
      <c r="U39" s="176">
        <f t="shared" ref="U39" si="48">+F39+H39+J39+L39+N39+P39+R39+T39</f>
        <v>0</v>
      </c>
      <c r="V39" s="178">
        <f t="shared" si="43"/>
        <v>0</v>
      </c>
      <c r="W39" s="179">
        <f>'A.P.U. 2024'!F285</f>
        <v>3400255.9678384895</v>
      </c>
      <c r="X39" s="179">
        <f>'A.P.U. 2024'!G285</f>
        <v>3974643.0214055805</v>
      </c>
      <c r="Y39" s="180">
        <f t="shared" ref="Y39" si="49">V39*W39</f>
        <v>0</v>
      </c>
      <c r="Z39" s="181">
        <f t="shared" ref="Z39" si="50">V39*X39</f>
        <v>0</v>
      </c>
      <c r="AA39" s="182">
        <f>'A.P.U. 2024'!G276</f>
        <v>3586383.8091833587</v>
      </c>
      <c r="AB39" s="183">
        <f>+AA39*V39</f>
        <v>0</v>
      </c>
      <c r="AC39" s="182">
        <f>'A.P.U. 2024'!G278+'A.P.U. 2024'!G279</f>
        <v>11093</v>
      </c>
      <c r="AD39" s="181">
        <f>+AC39*V39</f>
        <v>0</v>
      </c>
      <c r="AE39" s="180">
        <f>'A.P.U. 2024'!G280</f>
        <v>301806.66222222219</v>
      </c>
      <c r="AF39" s="179">
        <f>+AE39*V39</f>
        <v>0</v>
      </c>
      <c r="AG39" s="180">
        <f>'A.P.U. 2024'!F284</f>
        <v>75359.55</v>
      </c>
      <c r="AH39" s="180">
        <f>+AG39*V39</f>
        <v>0</v>
      </c>
      <c r="AI39" s="647">
        <f t="shared" si="10"/>
        <v>0</v>
      </c>
      <c r="AJ39" s="604">
        <f>'A.P.U. 2024'!L282</f>
        <v>0</v>
      </c>
      <c r="AK39" s="605"/>
      <c r="AL39" s="605"/>
      <c r="AM39" s="766"/>
      <c r="AN39" s="766"/>
      <c r="AO39" s="766"/>
      <c r="AP39" s="766"/>
      <c r="AQ39" s="766"/>
      <c r="AR39" s="766"/>
      <c r="AS39" s="766"/>
      <c r="AT39" s="766"/>
      <c r="AU39" s="766"/>
      <c r="AV39" s="766"/>
      <c r="AW39" s="766"/>
      <c r="AX39" s="766"/>
      <c r="AY39" s="766"/>
      <c r="AZ39" s="766"/>
      <c r="BA39" s="766"/>
      <c r="BB39" s="766"/>
      <c r="BC39" s="766"/>
      <c r="BD39" s="766"/>
      <c r="BE39" s="766"/>
      <c r="BF39" s="766"/>
      <c r="BG39" s="766"/>
      <c r="BH39" s="766"/>
      <c r="BI39" s="766"/>
      <c r="BJ39" s="766"/>
      <c r="BK39" s="766"/>
      <c r="BL39" s="766"/>
      <c r="BM39" s="766"/>
      <c r="BN39" s="766"/>
      <c r="BO39" s="766"/>
      <c r="BP39" s="766"/>
      <c r="BQ39" s="766"/>
      <c r="BR39" s="766"/>
      <c r="BS39" s="766"/>
      <c r="BT39" s="766"/>
      <c r="BU39" s="766"/>
      <c r="BV39" s="766"/>
      <c r="BW39" s="766"/>
      <c r="BX39" s="766"/>
      <c r="BY39" s="766"/>
      <c r="BZ39" s="766"/>
      <c r="CA39" s="766"/>
      <c r="CB39" s="766"/>
      <c r="CC39" s="766"/>
      <c r="CD39" s="766"/>
      <c r="CE39" s="766"/>
      <c r="CF39" s="766"/>
      <c r="CG39" s="766"/>
      <c r="CH39" s="766"/>
      <c r="CI39" s="766"/>
      <c r="CJ39" s="766"/>
      <c r="CK39" s="766"/>
      <c r="CL39" s="766"/>
      <c r="CM39" s="766"/>
      <c r="CN39" s="766"/>
      <c r="CO39" s="766"/>
      <c r="CP39" s="766"/>
      <c r="CQ39" s="766"/>
      <c r="CR39" s="766"/>
      <c r="CS39" s="766"/>
      <c r="CT39" s="766"/>
      <c r="CU39" s="766"/>
      <c r="CV39" s="766"/>
      <c r="CW39" s="766"/>
      <c r="CX39" s="766"/>
      <c r="CY39" s="766"/>
      <c r="CZ39" s="766"/>
      <c r="DA39" s="766"/>
      <c r="DB39" s="766"/>
      <c r="DC39" s="766"/>
      <c r="DD39" s="766"/>
      <c r="DE39" s="766"/>
      <c r="DF39" s="766"/>
      <c r="DG39" s="766"/>
      <c r="DH39" s="766"/>
      <c r="DI39" s="766"/>
      <c r="DJ39" s="766"/>
      <c r="DK39" s="766"/>
      <c r="DL39" s="766"/>
      <c r="DM39" s="766"/>
      <c r="DN39" s="766"/>
      <c r="DO39" s="766"/>
      <c r="DP39" s="766"/>
      <c r="DQ39" s="766"/>
      <c r="DR39" s="766"/>
      <c r="DS39" s="766"/>
      <c r="DT39" s="766"/>
      <c r="DU39" s="766"/>
      <c r="DV39" s="766"/>
      <c r="DW39" s="766"/>
      <c r="DX39" s="766"/>
      <c r="DY39" s="766"/>
      <c r="DZ39" s="766"/>
      <c r="EA39" s="766"/>
      <c r="EB39" s="766"/>
      <c r="EC39" s="766"/>
      <c r="ED39" s="766"/>
      <c r="EE39" s="766"/>
      <c r="EF39" s="766"/>
      <c r="EG39" s="766"/>
      <c r="EH39" s="766"/>
      <c r="EI39" s="766"/>
      <c r="EJ39" s="766"/>
      <c r="EK39" s="766"/>
      <c r="EL39" s="766"/>
      <c r="EM39" s="766"/>
      <c r="EN39" s="766"/>
    </row>
    <row r="40" spans="1:144" s="214" customFormat="1" ht="73.5" customHeight="1">
      <c r="A40" s="201" t="e">
        <f>+A43+1</f>
        <v>#REF!</v>
      </c>
      <c r="B40" s="202" t="s">
        <v>289</v>
      </c>
      <c r="C40" s="203" t="s">
        <v>299</v>
      </c>
      <c r="D40" s="204" t="s">
        <v>100</v>
      </c>
      <c r="E40" s="205"/>
      <c r="F40" s="206"/>
      <c r="G40" s="205"/>
      <c r="H40" s="206"/>
      <c r="I40" s="205"/>
      <c r="J40" s="206"/>
      <c r="K40" s="205"/>
      <c r="L40" s="206"/>
      <c r="M40" s="205"/>
      <c r="N40" s="206"/>
      <c r="O40" s="205">
        <v>1</v>
      </c>
      <c r="P40" s="207">
        <f>+O40*$P$8</f>
        <v>1</v>
      </c>
      <c r="Q40" s="206">
        <v>1</v>
      </c>
      <c r="R40" s="206">
        <f>+Q40*$R$8</f>
        <v>0</v>
      </c>
      <c r="S40" s="206">
        <v>1</v>
      </c>
      <c r="T40" s="206">
        <f>+S40*$T$8</f>
        <v>0</v>
      </c>
      <c r="U40" s="206">
        <f t="shared" ref="U40:U49" si="51">+F40+H40+J40+L40+N40+P40+R40+T40</f>
        <v>1</v>
      </c>
      <c r="V40" s="208">
        <f t="shared" si="43"/>
        <v>1</v>
      </c>
      <c r="W40" s="209">
        <f>'A.P.U. 2024'!F293</f>
        <v>6168161.5153632956</v>
      </c>
      <c r="X40" s="209">
        <f>'A.P.U. 2024'!G293</f>
        <v>7239180.1824600995</v>
      </c>
      <c r="Y40" s="210">
        <f t="shared" si="1"/>
        <v>6168161.5153632956</v>
      </c>
      <c r="Z40" s="211">
        <f t="shared" si="2"/>
        <v>7239180.1824600995</v>
      </c>
      <c r="AA40" s="212">
        <f>'A.P.U. 2024'!G288</f>
        <v>6707959.020237877</v>
      </c>
      <c r="AB40" s="213">
        <f>+AA40*V40</f>
        <v>6707959.020237877</v>
      </c>
      <c r="AC40" s="212"/>
      <c r="AD40" s="212">
        <f>+AC40*V40</f>
        <v>0</v>
      </c>
      <c r="AE40" s="210">
        <f>'A.P.U. 2024'!G289</f>
        <v>301806.66222222219</v>
      </c>
      <c r="AF40" s="209">
        <f>+AE40*V40</f>
        <v>301806.66222222219</v>
      </c>
      <c r="AG40" s="210">
        <f>'A.P.U. 2024'!F290+'A.P.U. 2024'!F291</f>
        <v>229414.5</v>
      </c>
      <c r="AH40" s="210">
        <f>+AG40*V40</f>
        <v>229414.5</v>
      </c>
      <c r="AI40" s="647">
        <f t="shared" si="10"/>
        <v>7239180.1824600995</v>
      </c>
      <c r="AJ40" s="604">
        <f>+'A.P.U. 2024'!L285</f>
        <v>0</v>
      </c>
      <c r="AK40" s="605"/>
      <c r="AL40" s="605"/>
      <c r="AM40" s="766"/>
      <c r="AN40" s="766"/>
      <c r="AO40" s="766"/>
      <c r="AP40" s="766"/>
      <c r="AQ40" s="766"/>
      <c r="AR40" s="766"/>
      <c r="AS40" s="766"/>
      <c r="AT40" s="766"/>
      <c r="AU40" s="766"/>
      <c r="AV40" s="766"/>
      <c r="AW40" s="766"/>
      <c r="AX40" s="766"/>
      <c r="AY40" s="766"/>
      <c r="AZ40" s="766"/>
      <c r="BA40" s="766"/>
      <c r="BB40" s="766"/>
      <c r="BC40" s="766"/>
      <c r="BD40" s="766"/>
      <c r="BE40" s="766"/>
      <c r="BF40" s="766"/>
      <c r="BG40" s="766"/>
      <c r="BH40" s="766"/>
      <c r="BI40" s="766"/>
      <c r="BJ40" s="766"/>
      <c r="BK40" s="766"/>
      <c r="BL40" s="766"/>
      <c r="BM40" s="766"/>
      <c r="BN40" s="766"/>
      <c r="BO40" s="766"/>
      <c r="BP40" s="766"/>
      <c r="BQ40" s="766"/>
      <c r="BR40" s="766"/>
      <c r="BS40" s="766"/>
      <c r="BT40" s="766"/>
      <c r="BU40" s="766"/>
      <c r="BV40" s="766"/>
      <c r="BW40" s="766"/>
      <c r="BX40" s="766"/>
      <c r="BY40" s="766"/>
      <c r="BZ40" s="766"/>
      <c r="CA40" s="766"/>
      <c r="CB40" s="766"/>
      <c r="CC40" s="766"/>
      <c r="CD40" s="766"/>
      <c r="CE40" s="766"/>
      <c r="CF40" s="766"/>
      <c r="CG40" s="766"/>
      <c r="CH40" s="766"/>
      <c r="CI40" s="766"/>
      <c r="CJ40" s="766"/>
      <c r="CK40" s="766"/>
      <c r="CL40" s="766"/>
      <c r="CM40" s="766"/>
      <c r="CN40" s="766"/>
      <c r="CO40" s="766"/>
      <c r="CP40" s="766"/>
      <c r="CQ40" s="766"/>
      <c r="CR40" s="766"/>
      <c r="CS40" s="766"/>
      <c r="CT40" s="766"/>
      <c r="CU40" s="766"/>
      <c r="CV40" s="766"/>
      <c r="CW40" s="766"/>
      <c r="CX40" s="766"/>
      <c r="CY40" s="766"/>
      <c r="CZ40" s="766"/>
      <c r="DA40" s="766"/>
      <c r="DB40" s="766"/>
      <c r="DC40" s="766"/>
      <c r="DD40" s="766"/>
      <c r="DE40" s="766"/>
      <c r="DF40" s="766"/>
      <c r="DG40" s="766"/>
      <c r="DH40" s="766"/>
      <c r="DI40" s="766"/>
      <c r="DJ40" s="766"/>
      <c r="DK40" s="766"/>
      <c r="DL40" s="766"/>
      <c r="DM40" s="766"/>
      <c r="DN40" s="766"/>
      <c r="DO40" s="766"/>
      <c r="DP40" s="766"/>
      <c r="DQ40" s="766"/>
      <c r="DR40" s="766"/>
      <c r="DS40" s="766"/>
      <c r="DT40" s="766"/>
      <c r="DU40" s="766"/>
      <c r="DV40" s="766"/>
      <c r="DW40" s="766"/>
      <c r="DX40" s="766"/>
      <c r="DY40" s="766"/>
      <c r="DZ40" s="766"/>
      <c r="EA40" s="766"/>
      <c r="EB40" s="766"/>
      <c r="EC40" s="766"/>
      <c r="ED40" s="766"/>
      <c r="EE40" s="766"/>
      <c r="EF40" s="766"/>
      <c r="EG40" s="766"/>
      <c r="EH40" s="766"/>
      <c r="EI40" s="766"/>
      <c r="EJ40" s="766"/>
      <c r="EK40" s="766"/>
      <c r="EL40" s="766"/>
      <c r="EM40" s="766"/>
      <c r="EN40" s="766"/>
    </row>
    <row r="41" spans="1:144" s="214" customFormat="1" ht="73.5" customHeight="1">
      <c r="A41" s="201" t="e">
        <f>+A44+1</f>
        <v>#REF!</v>
      </c>
      <c r="B41" s="202" t="s">
        <v>289</v>
      </c>
      <c r="C41" s="203" t="s">
        <v>300</v>
      </c>
      <c r="D41" s="204" t="s">
        <v>100</v>
      </c>
      <c r="E41" s="205"/>
      <c r="F41" s="206"/>
      <c r="G41" s="205"/>
      <c r="H41" s="206"/>
      <c r="I41" s="205"/>
      <c r="J41" s="206"/>
      <c r="K41" s="205"/>
      <c r="L41" s="206"/>
      <c r="M41" s="205"/>
      <c r="N41" s="206"/>
      <c r="O41" s="205">
        <v>1</v>
      </c>
      <c r="P41" s="207">
        <f>+O41*$P$8</f>
        <v>1</v>
      </c>
      <c r="Q41" s="206">
        <v>1</v>
      </c>
      <c r="R41" s="206">
        <f>+Q41*$R$8</f>
        <v>0</v>
      </c>
      <c r="S41" s="206">
        <v>1</v>
      </c>
      <c r="T41" s="206">
        <f>+S41*$T$8</f>
        <v>0</v>
      </c>
      <c r="U41" s="206">
        <f t="shared" si="51"/>
        <v>1</v>
      </c>
      <c r="V41" s="208">
        <f t="shared" si="43"/>
        <v>1</v>
      </c>
      <c r="W41" s="209">
        <f>+'A.P.U. 2024'!F308</f>
        <v>7053385.317791163</v>
      </c>
      <c r="X41" s="209">
        <f>+'A.P.U. 2024'!G308</f>
        <v>8219103.500349259</v>
      </c>
      <c r="Y41" s="210">
        <f t="shared" si="1"/>
        <v>7053385.317791163</v>
      </c>
      <c r="Z41" s="211">
        <f t="shared" si="2"/>
        <v>8219103.500349259</v>
      </c>
      <c r="AA41" s="212">
        <f>+'A.P.U. 2024'!G296</f>
        <v>6206081.0032600509</v>
      </c>
      <c r="AB41" s="213">
        <f>+AA41*V41</f>
        <v>6206081.0032600509</v>
      </c>
      <c r="AC41" s="212">
        <f>SUM('A.P.U. 2024'!G297:G303)</f>
        <v>1094996.034866987</v>
      </c>
      <c r="AD41" s="212">
        <f>+AC41*V41</f>
        <v>1094996.034866987</v>
      </c>
      <c r="AE41" s="210">
        <f>+'A.P.U. 2024'!G304</f>
        <v>301806.66222222219</v>
      </c>
      <c r="AF41" s="209">
        <f>+AE41*V41</f>
        <v>301806.66222222219</v>
      </c>
      <c r="AG41" s="210">
        <f>+'A.P.U. 2024'!G305+'A.P.U. 2024'!G306</f>
        <v>616219.80000000005</v>
      </c>
      <c r="AH41" s="210">
        <f>+AG41*V41</f>
        <v>616219.80000000005</v>
      </c>
      <c r="AI41" s="647">
        <f t="shared" si="10"/>
        <v>8219103.5003492599</v>
      </c>
      <c r="AJ41" s="604">
        <f>+'A.P.U. 2024'!L296</f>
        <v>1165718.182558096</v>
      </c>
      <c r="AK41" s="605"/>
      <c r="AL41" s="605"/>
      <c r="AM41" s="766"/>
      <c r="AN41" s="766"/>
      <c r="AO41" s="766"/>
      <c r="AP41" s="766"/>
      <c r="AQ41" s="766"/>
      <c r="AR41" s="766"/>
      <c r="AS41" s="766"/>
      <c r="AT41" s="766"/>
      <c r="AU41" s="766"/>
      <c r="AV41" s="766"/>
      <c r="AW41" s="766"/>
      <c r="AX41" s="766"/>
      <c r="AY41" s="766"/>
      <c r="AZ41" s="766"/>
      <c r="BA41" s="766"/>
      <c r="BB41" s="766"/>
      <c r="BC41" s="766"/>
      <c r="BD41" s="766"/>
      <c r="BE41" s="766"/>
      <c r="BF41" s="766"/>
      <c r="BG41" s="766"/>
      <c r="BH41" s="766"/>
      <c r="BI41" s="766"/>
      <c r="BJ41" s="766"/>
      <c r="BK41" s="766"/>
      <c r="BL41" s="766"/>
      <c r="BM41" s="766"/>
      <c r="BN41" s="766"/>
      <c r="BO41" s="766"/>
      <c r="BP41" s="766"/>
      <c r="BQ41" s="766"/>
      <c r="BR41" s="766"/>
      <c r="BS41" s="766"/>
      <c r="BT41" s="766"/>
      <c r="BU41" s="766"/>
      <c r="BV41" s="766"/>
      <c r="BW41" s="766"/>
      <c r="BX41" s="766"/>
      <c r="BY41" s="766"/>
      <c r="BZ41" s="766"/>
      <c r="CA41" s="766"/>
      <c r="CB41" s="766"/>
      <c r="CC41" s="766"/>
      <c r="CD41" s="766"/>
      <c r="CE41" s="766"/>
      <c r="CF41" s="766"/>
      <c r="CG41" s="766"/>
      <c r="CH41" s="766"/>
      <c r="CI41" s="766"/>
      <c r="CJ41" s="766"/>
      <c r="CK41" s="766"/>
      <c r="CL41" s="766"/>
      <c r="CM41" s="766"/>
      <c r="CN41" s="766"/>
      <c r="CO41" s="766"/>
      <c r="CP41" s="766"/>
      <c r="CQ41" s="766"/>
      <c r="CR41" s="766"/>
      <c r="CS41" s="766"/>
      <c r="CT41" s="766"/>
      <c r="CU41" s="766"/>
      <c r="CV41" s="766"/>
      <c r="CW41" s="766"/>
      <c r="CX41" s="766"/>
      <c r="CY41" s="766"/>
      <c r="CZ41" s="766"/>
      <c r="DA41" s="766"/>
      <c r="DB41" s="766"/>
      <c r="DC41" s="766"/>
      <c r="DD41" s="766"/>
      <c r="DE41" s="766"/>
      <c r="DF41" s="766"/>
      <c r="DG41" s="766"/>
      <c r="DH41" s="766"/>
      <c r="DI41" s="766"/>
      <c r="DJ41" s="766"/>
      <c r="DK41" s="766"/>
      <c r="DL41" s="766"/>
      <c r="DM41" s="766"/>
      <c r="DN41" s="766"/>
      <c r="DO41" s="766"/>
      <c r="DP41" s="766"/>
      <c r="DQ41" s="766"/>
      <c r="DR41" s="766"/>
      <c r="DS41" s="766"/>
      <c r="DT41" s="766"/>
      <c r="DU41" s="766"/>
      <c r="DV41" s="766"/>
      <c r="DW41" s="766"/>
      <c r="DX41" s="766"/>
      <c r="DY41" s="766"/>
      <c r="DZ41" s="766"/>
      <c r="EA41" s="766"/>
      <c r="EB41" s="766"/>
      <c r="EC41" s="766"/>
      <c r="ED41" s="766"/>
      <c r="EE41" s="766"/>
      <c r="EF41" s="766"/>
      <c r="EG41" s="766"/>
      <c r="EH41" s="766"/>
      <c r="EI41" s="766"/>
      <c r="EJ41" s="766"/>
      <c r="EK41" s="766"/>
      <c r="EL41" s="766"/>
      <c r="EM41" s="766"/>
      <c r="EN41" s="766"/>
    </row>
    <row r="42" spans="1:144" s="169" customFormat="1" ht="59.25" customHeight="1">
      <c r="A42" s="154" t="e">
        <f>+A26+1</f>
        <v>#REF!</v>
      </c>
      <c r="B42" s="155" t="s">
        <v>289</v>
      </c>
      <c r="C42" s="215" t="s">
        <v>301</v>
      </c>
      <c r="D42" s="157" t="s">
        <v>100</v>
      </c>
      <c r="E42" s="158">
        <v>1</v>
      </c>
      <c r="F42" s="159">
        <f>+E42*$F$8</f>
        <v>29</v>
      </c>
      <c r="G42" s="159">
        <v>1</v>
      </c>
      <c r="H42" s="159">
        <f>+G42*$H$8</f>
        <v>0</v>
      </c>
      <c r="I42" s="159"/>
      <c r="J42" s="159"/>
      <c r="K42" s="159"/>
      <c r="L42" s="159"/>
      <c r="M42" s="159"/>
      <c r="N42" s="159"/>
      <c r="O42" s="159"/>
      <c r="P42" s="162"/>
      <c r="Q42" s="159"/>
      <c r="R42" s="159"/>
      <c r="S42" s="159"/>
      <c r="T42" s="159"/>
      <c r="U42" s="159">
        <f t="shared" si="51"/>
        <v>29</v>
      </c>
      <c r="V42" s="163">
        <f t="shared" si="4"/>
        <v>29</v>
      </c>
      <c r="W42" s="164">
        <f>+'A.P.U. 2024'!F322</f>
        <v>136659.1567379396</v>
      </c>
      <c r="X42" s="164">
        <f>+'A.P.U. 2024'!G322</f>
        <v>153553.79707407407</v>
      </c>
      <c r="Y42" s="165">
        <f t="shared" si="1"/>
        <v>3963115.5454002484</v>
      </c>
      <c r="Z42" s="166">
        <f t="shared" si="2"/>
        <v>4453060.1151481485</v>
      </c>
      <c r="AA42" s="168">
        <f>+'A.P.U. 2024'!G312</f>
        <v>64541</v>
      </c>
      <c r="AB42" s="168">
        <f>+AA42*V42</f>
        <v>1871689</v>
      </c>
      <c r="AC42" s="167">
        <f>SUM('A.P.U. 2024'!G315:G319)+'A.P.U. 2024'!G312</f>
        <v>105813.8</v>
      </c>
      <c r="AD42" s="166">
        <f>+AC42*V42</f>
        <v>3068600.2</v>
      </c>
      <c r="AE42" s="165">
        <f>+'A.P.U. 2024'!G313</f>
        <v>10060.222074074072</v>
      </c>
      <c r="AF42" s="164">
        <f t="shared" si="8"/>
        <v>291746.4401481481</v>
      </c>
      <c r="AG42" s="165">
        <f>+'A.P.U. 2024'!G314+'A.P.U. 2024'!G320</f>
        <v>37679.775000000001</v>
      </c>
      <c r="AH42" s="165">
        <f t="shared" si="9"/>
        <v>1092713.4750000001</v>
      </c>
      <c r="AI42" s="647">
        <f>+AA42+AD42+AF42+AH42</f>
        <v>4517601.1151481485</v>
      </c>
      <c r="AJ42" s="604">
        <f>'A.P.U. 2024'!L312</f>
        <v>489944.56974789919</v>
      </c>
      <c r="AK42" s="605"/>
      <c r="AL42" s="605"/>
      <c r="AM42" s="766"/>
      <c r="AN42" s="766"/>
      <c r="AO42" s="766"/>
      <c r="AP42" s="766"/>
      <c r="AQ42" s="766"/>
      <c r="AR42" s="766"/>
      <c r="AS42" s="766"/>
      <c r="AT42" s="766"/>
      <c r="AU42" s="766"/>
      <c r="AV42" s="766"/>
      <c r="AW42" s="766"/>
      <c r="AX42" s="766"/>
      <c r="AY42" s="766"/>
      <c r="AZ42" s="766"/>
      <c r="BA42" s="766"/>
      <c r="BB42" s="766"/>
      <c r="BC42" s="766"/>
      <c r="BD42" s="766"/>
      <c r="BE42" s="766"/>
      <c r="BF42" s="766"/>
      <c r="BG42" s="766"/>
      <c r="BH42" s="766"/>
      <c r="BI42" s="766"/>
      <c r="BJ42" s="766"/>
      <c r="BK42" s="766"/>
      <c r="BL42" s="766"/>
      <c r="BM42" s="766"/>
      <c r="BN42" s="766"/>
      <c r="BO42" s="766"/>
      <c r="BP42" s="766"/>
      <c r="BQ42" s="766"/>
      <c r="BR42" s="766"/>
      <c r="BS42" s="766"/>
      <c r="BT42" s="766"/>
      <c r="BU42" s="766"/>
      <c r="BV42" s="766"/>
      <c r="BW42" s="766"/>
      <c r="BX42" s="766"/>
      <c r="BY42" s="766"/>
      <c r="BZ42" s="766"/>
      <c r="CA42" s="766"/>
      <c r="CB42" s="766"/>
      <c r="CC42" s="766"/>
      <c r="CD42" s="766"/>
      <c r="CE42" s="766"/>
      <c r="CF42" s="766"/>
      <c r="CG42" s="766"/>
      <c r="CH42" s="766"/>
      <c r="CI42" s="766"/>
      <c r="CJ42" s="766"/>
      <c r="CK42" s="766"/>
      <c r="CL42" s="766"/>
      <c r="CM42" s="766"/>
      <c r="CN42" s="766"/>
      <c r="CO42" s="766"/>
      <c r="CP42" s="766"/>
      <c r="CQ42" s="766"/>
      <c r="CR42" s="766"/>
      <c r="CS42" s="766"/>
      <c r="CT42" s="766"/>
      <c r="CU42" s="766"/>
      <c r="CV42" s="766"/>
      <c r="CW42" s="766"/>
      <c r="CX42" s="766"/>
      <c r="CY42" s="766"/>
      <c r="CZ42" s="766"/>
      <c r="DA42" s="766"/>
      <c r="DB42" s="766"/>
      <c r="DC42" s="766"/>
      <c r="DD42" s="766"/>
      <c r="DE42" s="766"/>
      <c r="DF42" s="766"/>
      <c r="DG42" s="766"/>
      <c r="DH42" s="766"/>
      <c r="DI42" s="766"/>
      <c r="DJ42" s="766"/>
      <c r="DK42" s="766"/>
      <c r="DL42" s="766"/>
      <c r="DM42" s="766"/>
      <c r="DN42" s="766"/>
      <c r="DO42" s="766"/>
      <c r="DP42" s="766"/>
      <c r="DQ42" s="766"/>
      <c r="DR42" s="766"/>
      <c r="DS42" s="766"/>
      <c r="DT42" s="766"/>
      <c r="DU42" s="766"/>
      <c r="DV42" s="766"/>
      <c r="DW42" s="766"/>
      <c r="DX42" s="766"/>
      <c r="DY42" s="766"/>
      <c r="DZ42" s="766"/>
      <c r="EA42" s="766"/>
      <c r="EB42" s="766"/>
      <c r="EC42" s="766"/>
      <c r="ED42" s="766"/>
      <c r="EE42" s="766"/>
      <c r="EF42" s="766"/>
      <c r="EG42" s="766"/>
      <c r="EH42" s="766"/>
      <c r="EI42" s="766"/>
      <c r="EJ42" s="766"/>
      <c r="EK42" s="766"/>
      <c r="EL42" s="766"/>
      <c r="EM42" s="766"/>
      <c r="EN42" s="766"/>
    </row>
    <row r="43" spans="1:144" s="184" customFormat="1" ht="38.25" customHeight="1">
      <c r="A43" s="170" t="e">
        <f t="shared" si="5"/>
        <v>#REF!</v>
      </c>
      <c r="B43" s="171" t="s">
        <v>289</v>
      </c>
      <c r="C43" s="199" t="s">
        <v>302</v>
      </c>
      <c r="D43" s="173" t="s">
        <v>100</v>
      </c>
      <c r="E43" s="174"/>
      <c r="F43" s="175"/>
      <c r="G43" s="175"/>
      <c r="H43" s="175"/>
      <c r="I43" s="175">
        <v>1</v>
      </c>
      <c r="J43" s="175">
        <f>+I43*$J$8</f>
        <v>0</v>
      </c>
      <c r="K43" s="175">
        <v>1</v>
      </c>
      <c r="L43" s="175">
        <f>+K43*$L$8</f>
        <v>0</v>
      </c>
      <c r="M43" s="175">
        <v>1</v>
      </c>
      <c r="N43" s="175">
        <f>+M43*$N$8</f>
        <v>0</v>
      </c>
      <c r="O43" s="175">
        <v>1</v>
      </c>
      <c r="P43" s="177">
        <f>+O43*$P$8</f>
        <v>1</v>
      </c>
      <c r="Q43" s="175">
        <v>1</v>
      </c>
      <c r="R43" s="175">
        <f>+Q43*$R$8</f>
        <v>0</v>
      </c>
      <c r="S43" s="175">
        <v>1</v>
      </c>
      <c r="T43" s="175">
        <f>+S43*$T$8</f>
        <v>0</v>
      </c>
      <c r="U43" s="175">
        <f t="shared" si="51"/>
        <v>1</v>
      </c>
      <c r="V43" s="178">
        <f>+ROUND(U43,1)</f>
        <v>1</v>
      </c>
      <c r="W43" s="179">
        <f>+'A.P.U. 2024'!F334</f>
        <v>145366.71976314968</v>
      </c>
      <c r="X43" s="179">
        <f>+'A.P.U. 2024'!G334</f>
        <v>222397.79707407407</v>
      </c>
      <c r="Y43" s="180">
        <f t="shared" si="1"/>
        <v>145366.71976314968</v>
      </c>
      <c r="Z43" s="181">
        <f t="shared" si="2"/>
        <v>222397.79707407407</v>
      </c>
      <c r="AA43" s="182">
        <f>'A.P.U. 2024'!G325</f>
        <v>85093</v>
      </c>
      <c r="AB43" s="183">
        <f t="shared" si="28"/>
        <v>85093</v>
      </c>
      <c r="AC43" s="182">
        <f>SUM('A.P.U. 2024'!G328:G331)+'A.P.U. 2024'!G325</f>
        <v>174657.8</v>
      </c>
      <c r="AD43" s="181">
        <f t="shared" si="7"/>
        <v>174657.8</v>
      </c>
      <c r="AE43" s="180">
        <f>+'A.P.U. 2024'!G326</f>
        <v>10060.222074074072</v>
      </c>
      <c r="AF43" s="179">
        <f t="shared" si="8"/>
        <v>10060.222074074072</v>
      </c>
      <c r="AG43" s="180">
        <f>+'A.P.U. 2024'!G327+'A.P.U. 2024'!G332</f>
        <v>37679.775000000001</v>
      </c>
      <c r="AH43" s="180">
        <f t="shared" si="9"/>
        <v>37679.775000000001</v>
      </c>
      <c r="AI43" s="647">
        <f t="shared" si="10"/>
        <v>307490.7970740741</v>
      </c>
      <c r="AJ43" s="604">
        <f>+'A.P.U. 2024'!L325</f>
        <v>77031.07731092436</v>
      </c>
      <c r="AK43" s="605"/>
      <c r="AL43" s="605"/>
      <c r="AM43" s="766"/>
      <c r="AN43" s="766"/>
      <c r="AO43" s="766"/>
      <c r="AP43" s="766"/>
      <c r="AQ43" s="766"/>
      <c r="AR43" s="766"/>
      <c r="AS43" s="766"/>
      <c r="AT43" s="766"/>
      <c r="AU43" s="766"/>
      <c r="AV43" s="766"/>
      <c r="AW43" s="766"/>
      <c r="AX43" s="766"/>
      <c r="AY43" s="766"/>
      <c r="AZ43" s="766"/>
      <c r="BA43" s="766"/>
      <c r="BB43" s="766"/>
      <c r="BC43" s="766"/>
      <c r="BD43" s="766"/>
      <c r="BE43" s="766"/>
      <c r="BF43" s="766"/>
      <c r="BG43" s="766"/>
      <c r="BH43" s="766"/>
      <c r="BI43" s="766"/>
      <c r="BJ43" s="766"/>
      <c r="BK43" s="766"/>
      <c r="BL43" s="766"/>
      <c r="BM43" s="766"/>
      <c r="BN43" s="766"/>
      <c r="BO43" s="766"/>
      <c r="BP43" s="766"/>
      <c r="BQ43" s="766"/>
      <c r="BR43" s="766"/>
      <c r="BS43" s="766"/>
      <c r="BT43" s="766"/>
      <c r="BU43" s="766"/>
      <c r="BV43" s="766"/>
      <c r="BW43" s="766"/>
      <c r="BX43" s="766"/>
      <c r="BY43" s="766"/>
      <c r="BZ43" s="766"/>
      <c r="CA43" s="766"/>
      <c r="CB43" s="766"/>
      <c r="CC43" s="766"/>
      <c r="CD43" s="766"/>
      <c r="CE43" s="766"/>
      <c r="CF43" s="766"/>
      <c r="CG43" s="766"/>
      <c r="CH43" s="766"/>
      <c r="CI43" s="766"/>
      <c r="CJ43" s="766"/>
      <c r="CK43" s="766"/>
      <c r="CL43" s="766"/>
      <c r="CM43" s="766"/>
      <c r="CN43" s="766"/>
      <c r="CO43" s="766"/>
      <c r="CP43" s="766"/>
      <c r="CQ43" s="766"/>
      <c r="CR43" s="766"/>
      <c r="CS43" s="766"/>
      <c r="CT43" s="766"/>
      <c r="CU43" s="766"/>
      <c r="CV43" s="766"/>
      <c r="CW43" s="766"/>
      <c r="CX43" s="766"/>
      <c r="CY43" s="766"/>
      <c r="CZ43" s="766"/>
      <c r="DA43" s="766"/>
      <c r="DB43" s="766"/>
      <c r="DC43" s="766"/>
      <c r="DD43" s="766"/>
      <c r="DE43" s="766"/>
      <c r="DF43" s="766"/>
      <c r="DG43" s="766"/>
      <c r="DH43" s="766"/>
      <c r="DI43" s="766"/>
      <c r="DJ43" s="766"/>
      <c r="DK43" s="766"/>
      <c r="DL43" s="766"/>
      <c r="DM43" s="766"/>
      <c r="DN43" s="766"/>
      <c r="DO43" s="766"/>
      <c r="DP43" s="766"/>
      <c r="DQ43" s="766"/>
      <c r="DR43" s="766"/>
      <c r="DS43" s="766"/>
      <c r="DT43" s="766"/>
      <c r="DU43" s="766"/>
      <c r="DV43" s="766"/>
      <c r="DW43" s="766"/>
      <c r="DX43" s="766"/>
      <c r="DY43" s="766"/>
      <c r="DZ43" s="766"/>
      <c r="EA43" s="766"/>
      <c r="EB43" s="766"/>
      <c r="EC43" s="766"/>
      <c r="ED43" s="766"/>
      <c r="EE43" s="766"/>
      <c r="EF43" s="766"/>
      <c r="EG43" s="766"/>
      <c r="EH43" s="766"/>
      <c r="EI43" s="766"/>
      <c r="EJ43" s="766"/>
      <c r="EK43" s="766"/>
      <c r="EL43" s="766"/>
      <c r="EM43" s="766"/>
      <c r="EN43" s="766"/>
    </row>
    <row r="44" spans="1:144" s="184" customFormat="1" ht="54.75" customHeight="1">
      <c r="A44" s="170" t="e">
        <f>+A42+1</f>
        <v>#REF!</v>
      </c>
      <c r="B44" s="171" t="s">
        <v>289</v>
      </c>
      <c r="C44" s="216" t="s">
        <v>303</v>
      </c>
      <c r="D44" s="173" t="s">
        <v>97</v>
      </c>
      <c r="E44" s="174">
        <v>1</v>
      </c>
      <c r="F44" s="175">
        <f>+E44*$F$8</f>
        <v>29</v>
      </c>
      <c r="G44" s="175">
        <v>1</v>
      </c>
      <c r="H44" s="175">
        <f>+G44*$H$8</f>
        <v>0</v>
      </c>
      <c r="I44" s="175">
        <v>1</v>
      </c>
      <c r="J44" s="175">
        <f>+I44*$J$8</f>
        <v>0</v>
      </c>
      <c r="K44" s="175">
        <v>1</v>
      </c>
      <c r="L44" s="175">
        <f>+K44*$L$8</f>
        <v>0</v>
      </c>
      <c r="M44" s="175">
        <v>1</v>
      </c>
      <c r="N44" s="175">
        <f>+M44*$N$8</f>
        <v>0</v>
      </c>
      <c r="O44" s="175">
        <v>1</v>
      </c>
      <c r="P44" s="177">
        <f>+O44*$P$8</f>
        <v>1</v>
      </c>
      <c r="Q44" s="175">
        <v>1</v>
      </c>
      <c r="R44" s="175">
        <f>+Q44*$R$8</f>
        <v>0</v>
      </c>
      <c r="S44" s="175">
        <v>1</v>
      </c>
      <c r="T44" s="175">
        <f>+S44*$T$8</f>
        <v>0</v>
      </c>
      <c r="U44" s="175">
        <f t="shared" si="51"/>
        <v>30</v>
      </c>
      <c r="V44" s="178">
        <f t="shared" si="4"/>
        <v>30</v>
      </c>
      <c r="W44" s="179">
        <f>+'A.P.U. 2024'!F344</f>
        <v>154038.98586977905</v>
      </c>
      <c r="X44" s="179">
        <f>+'A.P.U. 2024'!G344</f>
        <v>180442.14688651852</v>
      </c>
      <c r="Y44" s="180">
        <f t="shared" si="1"/>
        <v>4621169.576093371</v>
      </c>
      <c r="Z44" s="181">
        <f t="shared" ref="Z44:Z49" si="52">V44*X44</f>
        <v>5413264.4065955551</v>
      </c>
      <c r="AA44" s="182">
        <f>+'A.P.U. 2024'!G337</f>
        <v>64093.5</v>
      </c>
      <c r="AB44" s="183">
        <f t="shared" si="28"/>
        <v>1922805</v>
      </c>
      <c r="AC44" s="182">
        <f>+'A.P.U. 2024'!G338</f>
        <v>101273.66636799999</v>
      </c>
      <c r="AD44" s="181">
        <f t="shared" si="7"/>
        <v>3038209.9910399998</v>
      </c>
      <c r="AE44" s="180">
        <f>+'A.P.U. 2024'!G339</f>
        <v>2515.0555185185181</v>
      </c>
      <c r="AF44" s="179">
        <f t="shared" si="8"/>
        <v>75451.665555555548</v>
      </c>
      <c r="AG44" s="217">
        <f>+'A.P.U. 2024'!G340+'A.P.U. 2024'!G341</f>
        <v>12559.925000000001</v>
      </c>
      <c r="AH44" s="180">
        <f t="shared" si="9"/>
        <v>376797.75000000006</v>
      </c>
      <c r="AI44" s="647">
        <f t="shared" si="10"/>
        <v>5413264.4065955551</v>
      </c>
      <c r="AJ44" s="604">
        <f>'A.P.U. 2024'!L337</f>
        <v>792094.83050218364</v>
      </c>
      <c r="AK44" s="605"/>
      <c r="AL44" s="605"/>
      <c r="AM44" s="766"/>
      <c r="AN44" s="766"/>
      <c r="AO44" s="766"/>
      <c r="AP44" s="766"/>
      <c r="AQ44" s="766"/>
      <c r="AR44" s="766"/>
      <c r="AS44" s="766"/>
      <c r="AT44" s="766"/>
      <c r="AU44" s="766"/>
      <c r="AV44" s="766"/>
      <c r="AW44" s="766"/>
      <c r="AX44" s="766"/>
      <c r="AY44" s="766"/>
      <c r="AZ44" s="766"/>
      <c r="BA44" s="766"/>
      <c r="BB44" s="766"/>
      <c r="BC44" s="766"/>
      <c r="BD44" s="766"/>
      <c r="BE44" s="766"/>
      <c r="BF44" s="766"/>
      <c r="BG44" s="766"/>
      <c r="BH44" s="766"/>
      <c r="BI44" s="766"/>
      <c r="BJ44" s="766"/>
      <c r="BK44" s="766"/>
      <c r="BL44" s="766"/>
      <c r="BM44" s="766"/>
      <c r="BN44" s="766"/>
      <c r="BO44" s="766"/>
      <c r="BP44" s="766"/>
      <c r="BQ44" s="766"/>
      <c r="BR44" s="766"/>
      <c r="BS44" s="766"/>
      <c r="BT44" s="766"/>
      <c r="BU44" s="766"/>
      <c r="BV44" s="766"/>
      <c r="BW44" s="766"/>
      <c r="BX44" s="766"/>
      <c r="BY44" s="766"/>
      <c r="BZ44" s="766"/>
      <c r="CA44" s="766"/>
      <c r="CB44" s="766"/>
      <c r="CC44" s="766"/>
      <c r="CD44" s="766"/>
      <c r="CE44" s="766"/>
      <c r="CF44" s="766"/>
      <c r="CG44" s="766"/>
      <c r="CH44" s="766"/>
      <c r="CI44" s="766"/>
      <c r="CJ44" s="766"/>
      <c r="CK44" s="766"/>
      <c r="CL44" s="766"/>
      <c r="CM44" s="766"/>
      <c r="CN44" s="766"/>
      <c r="CO44" s="766"/>
      <c r="CP44" s="766"/>
      <c r="CQ44" s="766"/>
      <c r="CR44" s="766"/>
      <c r="CS44" s="766"/>
      <c r="CT44" s="766"/>
      <c r="CU44" s="766"/>
      <c r="CV44" s="766"/>
      <c r="CW44" s="766"/>
      <c r="CX44" s="766"/>
      <c r="CY44" s="766"/>
      <c r="CZ44" s="766"/>
      <c r="DA44" s="766"/>
      <c r="DB44" s="766"/>
      <c r="DC44" s="766"/>
      <c r="DD44" s="766"/>
      <c r="DE44" s="766"/>
      <c r="DF44" s="766"/>
      <c r="DG44" s="766"/>
      <c r="DH44" s="766"/>
      <c r="DI44" s="766"/>
      <c r="DJ44" s="766"/>
      <c r="DK44" s="766"/>
      <c r="DL44" s="766"/>
      <c r="DM44" s="766"/>
      <c r="DN44" s="766"/>
      <c r="DO44" s="766"/>
      <c r="DP44" s="766"/>
      <c r="DQ44" s="766"/>
      <c r="DR44" s="766"/>
      <c r="DS44" s="766"/>
      <c r="DT44" s="766"/>
      <c r="DU44" s="766"/>
      <c r="DV44" s="766"/>
      <c r="DW44" s="766"/>
      <c r="DX44" s="766"/>
      <c r="DY44" s="766"/>
      <c r="DZ44" s="766"/>
      <c r="EA44" s="766"/>
      <c r="EB44" s="766"/>
      <c r="EC44" s="766"/>
      <c r="ED44" s="766"/>
      <c r="EE44" s="766"/>
      <c r="EF44" s="766"/>
      <c r="EG44" s="766"/>
      <c r="EH44" s="766"/>
      <c r="EI44" s="766"/>
      <c r="EJ44" s="766"/>
      <c r="EK44" s="766"/>
      <c r="EL44" s="766"/>
      <c r="EM44" s="766"/>
      <c r="EN44" s="766"/>
    </row>
    <row r="45" spans="1:144" s="214" customFormat="1" ht="46.5" customHeight="1">
      <c r="A45" s="201" t="e">
        <f>+A44+1</f>
        <v>#REF!</v>
      </c>
      <c r="B45" s="202" t="s">
        <v>285</v>
      </c>
      <c r="C45" s="203" t="s">
        <v>304</v>
      </c>
      <c r="D45" s="204" t="s">
        <v>97</v>
      </c>
      <c r="E45" s="218">
        <f>+'FICHAS '!AQ37</f>
        <v>0</v>
      </c>
      <c r="F45" s="206">
        <f>+E45*$F$9</f>
        <v>0</v>
      </c>
      <c r="G45" s="205">
        <f>+'FICHAS '!AR37</f>
        <v>0</v>
      </c>
      <c r="H45" s="206">
        <f>G45*H9</f>
        <v>0</v>
      </c>
      <c r="I45" s="205"/>
      <c r="J45" s="206"/>
      <c r="K45" s="205"/>
      <c r="L45" s="206"/>
      <c r="M45" s="205"/>
      <c r="N45" s="206"/>
      <c r="O45" s="205"/>
      <c r="P45" s="207"/>
      <c r="Q45" s="206"/>
      <c r="R45" s="206"/>
      <c r="S45" s="206"/>
      <c r="T45" s="206"/>
      <c r="U45" s="206">
        <f t="shared" si="51"/>
        <v>0</v>
      </c>
      <c r="V45" s="208">
        <f t="shared" si="4"/>
        <v>0</v>
      </c>
      <c r="W45" s="209">
        <f>+'A.P.U. 2024'!F352</f>
        <v>10139.545366456612</v>
      </c>
      <c r="X45" s="209">
        <f>+'A.P.U. 2024'!G352</f>
        <v>11286.595316182134</v>
      </c>
      <c r="Y45" s="210">
        <f t="shared" si="1"/>
        <v>0</v>
      </c>
      <c r="Z45" s="211">
        <f t="shared" si="52"/>
        <v>0</v>
      </c>
      <c r="AA45" s="212">
        <f>+'A.P.U. 2024'!G347</f>
        <v>7184.1549482808987</v>
      </c>
      <c r="AB45" s="213">
        <f t="shared" si="28"/>
        <v>0</v>
      </c>
      <c r="AC45" s="212">
        <v>0</v>
      </c>
      <c r="AD45" s="212">
        <f t="shared" si="7"/>
        <v>0</v>
      </c>
      <c r="AE45" s="210">
        <f>+'A.P.U. 2024'!G348</f>
        <v>167.67036790123456</v>
      </c>
      <c r="AF45" s="209">
        <f t="shared" si="8"/>
        <v>0</v>
      </c>
      <c r="AG45" s="210">
        <f>+'A.P.U. 2024'!G349+'A.P.U. 2024'!G350</f>
        <v>3934.77</v>
      </c>
      <c r="AH45" s="210">
        <f t="shared" si="9"/>
        <v>0</v>
      </c>
      <c r="AI45" s="647">
        <f t="shared" si="10"/>
        <v>0</v>
      </c>
      <c r="AJ45" s="604">
        <f>+'A.P.U. 2024'!L347</f>
        <v>0</v>
      </c>
      <c r="AK45" s="605"/>
      <c r="AL45" s="605"/>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66"/>
      <c r="CJ45" s="766"/>
      <c r="CK45" s="766"/>
      <c r="CL45" s="766"/>
      <c r="CM45" s="766"/>
      <c r="CN45" s="766"/>
      <c r="CO45" s="766"/>
      <c r="CP45" s="766"/>
      <c r="CQ45" s="766"/>
      <c r="CR45" s="766"/>
      <c r="CS45" s="766"/>
      <c r="CT45" s="766"/>
      <c r="CU45" s="766"/>
      <c r="CV45" s="766"/>
      <c r="CW45" s="766"/>
      <c r="CX45" s="766"/>
      <c r="CY45" s="766"/>
      <c r="CZ45" s="766"/>
      <c r="DA45" s="766"/>
      <c r="DB45" s="766"/>
      <c r="DC45" s="766"/>
      <c r="DD45" s="766"/>
      <c r="DE45" s="766"/>
      <c r="DF45" s="766"/>
      <c r="DG45" s="766"/>
      <c r="DH45" s="766"/>
      <c r="DI45" s="766"/>
      <c r="DJ45" s="766"/>
      <c r="DK45" s="766"/>
      <c r="DL45" s="766"/>
      <c r="DM45" s="766"/>
      <c r="DN45" s="766"/>
      <c r="DO45" s="766"/>
      <c r="DP45" s="766"/>
      <c r="DQ45" s="766"/>
      <c r="DR45" s="766"/>
      <c r="DS45" s="766"/>
      <c r="DT45" s="766"/>
      <c r="DU45" s="766"/>
      <c r="DV45" s="766"/>
      <c r="DW45" s="766"/>
      <c r="DX45" s="766"/>
      <c r="DY45" s="766"/>
      <c r="DZ45" s="766"/>
      <c r="EA45" s="766"/>
      <c r="EB45" s="766"/>
      <c r="EC45" s="766"/>
      <c r="ED45" s="766"/>
      <c r="EE45" s="766"/>
      <c r="EF45" s="766"/>
      <c r="EG45" s="766"/>
      <c r="EH45" s="766"/>
      <c r="EI45" s="766"/>
      <c r="EJ45" s="766"/>
      <c r="EK45" s="766"/>
      <c r="EL45" s="766"/>
      <c r="EM45" s="766"/>
      <c r="EN45" s="766"/>
    </row>
    <row r="46" spans="1:144" s="214" customFormat="1" ht="38.25" customHeight="1">
      <c r="A46" s="201" t="e">
        <f t="shared" si="5"/>
        <v>#REF!</v>
      </c>
      <c r="B46" s="202" t="s">
        <v>285</v>
      </c>
      <c r="C46" s="203" t="s">
        <v>305</v>
      </c>
      <c r="D46" s="204" t="s">
        <v>97</v>
      </c>
      <c r="E46" s="218"/>
      <c r="F46" s="206"/>
      <c r="G46" s="205"/>
      <c r="H46" s="206"/>
      <c r="I46" s="205">
        <f>+'FICHAS '!AS37</f>
        <v>0</v>
      </c>
      <c r="J46" s="206">
        <f>+J9*I46</f>
        <v>0</v>
      </c>
      <c r="K46" s="205">
        <f>+'FICHAS '!AT37</f>
        <v>0</v>
      </c>
      <c r="L46" s="206">
        <f>+L9*K46</f>
        <v>0</v>
      </c>
      <c r="M46" s="205">
        <f>+'FICHAS '!AU37</f>
        <v>0</v>
      </c>
      <c r="N46" s="206">
        <f>+N9*M46</f>
        <v>0</v>
      </c>
      <c r="O46" s="205">
        <f>+'FICHAS '!AV37</f>
        <v>0</v>
      </c>
      <c r="P46" s="207">
        <f>+P9*O46</f>
        <v>0</v>
      </c>
      <c r="Q46" s="206">
        <f>+'FICHAS '!AW37</f>
        <v>0</v>
      </c>
      <c r="R46" s="206">
        <f>+R9*Q46</f>
        <v>0</v>
      </c>
      <c r="S46" s="206">
        <f>+'FICHAS '!AX37</f>
        <v>0</v>
      </c>
      <c r="T46" s="206">
        <f>+T9*S46</f>
        <v>0</v>
      </c>
      <c r="U46" s="206">
        <f t="shared" si="51"/>
        <v>0</v>
      </c>
      <c r="V46" s="208">
        <f t="shared" si="4"/>
        <v>0</v>
      </c>
      <c r="W46" s="209">
        <f>+'A.P.U. 2024'!F360</f>
        <v>20377.117676467758</v>
      </c>
      <c r="X46" s="211">
        <f>+'A.P.U. 2024'!G360</f>
        <v>22721.7000650954</v>
      </c>
      <c r="Y46" s="210">
        <f t="shared" si="1"/>
        <v>0</v>
      </c>
      <c r="Z46" s="211">
        <f t="shared" si="52"/>
        <v>0</v>
      </c>
      <c r="AA46" s="212">
        <f>+'A.P.U. 2024'!G355</f>
        <v>14684.489697194162</v>
      </c>
      <c r="AB46" s="213">
        <f t="shared" si="28"/>
        <v>0</v>
      </c>
      <c r="AC46" s="212">
        <v>0</v>
      </c>
      <c r="AD46" s="211">
        <f t="shared" si="7"/>
        <v>0</v>
      </c>
      <c r="AE46" s="210">
        <f>+'A.P.U. 2024'!G356</f>
        <v>167.67036790123456</v>
      </c>
      <c r="AF46" s="209">
        <f t="shared" si="8"/>
        <v>0</v>
      </c>
      <c r="AG46" s="210">
        <f>+'A.P.U. 2024'!G357+'A.P.U. 2024'!G358</f>
        <v>7869.54</v>
      </c>
      <c r="AH46" s="210">
        <f t="shared" si="9"/>
        <v>0</v>
      </c>
      <c r="AI46" s="647">
        <f t="shared" si="10"/>
        <v>0</v>
      </c>
      <c r="AJ46" s="604">
        <f>+'A.P.U. 2024'!L355</f>
        <v>0</v>
      </c>
      <c r="AK46" s="605"/>
      <c r="AL46" s="605"/>
      <c r="AM46" s="766"/>
      <c r="AN46" s="766"/>
      <c r="AO46" s="766"/>
      <c r="AP46" s="766"/>
      <c r="AQ46" s="766"/>
      <c r="AR46" s="766"/>
      <c r="AS46" s="766"/>
      <c r="AT46" s="766"/>
      <c r="AU46" s="766"/>
      <c r="AV46" s="766"/>
      <c r="AW46" s="766"/>
      <c r="AX46" s="766"/>
      <c r="AY46" s="766"/>
      <c r="AZ46" s="766"/>
      <c r="BA46" s="766"/>
      <c r="BB46" s="766"/>
      <c r="BC46" s="766"/>
      <c r="BD46" s="766"/>
      <c r="BE46" s="766"/>
      <c r="BF46" s="766"/>
      <c r="BG46" s="766"/>
      <c r="BH46" s="766"/>
      <c r="BI46" s="766"/>
      <c r="BJ46" s="766"/>
      <c r="BK46" s="766"/>
      <c r="BL46" s="766"/>
      <c r="BM46" s="766"/>
      <c r="BN46" s="766"/>
      <c r="BO46" s="766"/>
      <c r="BP46" s="766"/>
      <c r="BQ46" s="766"/>
      <c r="BR46" s="766"/>
      <c r="BS46" s="766"/>
      <c r="BT46" s="766"/>
      <c r="BU46" s="766"/>
      <c r="BV46" s="766"/>
      <c r="BW46" s="766"/>
      <c r="BX46" s="766"/>
      <c r="BY46" s="766"/>
      <c r="BZ46" s="766"/>
      <c r="CA46" s="766"/>
      <c r="CB46" s="766"/>
      <c r="CC46" s="766"/>
      <c r="CD46" s="766"/>
      <c r="CE46" s="766"/>
      <c r="CF46" s="766"/>
      <c r="CG46" s="766"/>
      <c r="CH46" s="766"/>
      <c r="CI46" s="766"/>
      <c r="CJ46" s="766"/>
      <c r="CK46" s="766"/>
      <c r="CL46" s="766"/>
      <c r="CM46" s="766"/>
      <c r="CN46" s="766"/>
      <c r="CO46" s="766"/>
      <c r="CP46" s="766"/>
      <c r="CQ46" s="766"/>
      <c r="CR46" s="766"/>
      <c r="CS46" s="766"/>
      <c r="CT46" s="766"/>
      <c r="CU46" s="766"/>
      <c r="CV46" s="766"/>
      <c r="CW46" s="766"/>
      <c r="CX46" s="766"/>
      <c r="CY46" s="766"/>
      <c r="CZ46" s="766"/>
      <c r="DA46" s="766"/>
      <c r="DB46" s="766"/>
      <c r="DC46" s="766"/>
      <c r="DD46" s="766"/>
      <c r="DE46" s="766"/>
      <c r="DF46" s="766"/>
      <c r="DG46" s="766"/>
      <c r="DH46" s="766"/>
      <c r="DI46" s="766"/>
      <c r="DJ46" s="766"/>
      <c r="DK46" s="766"/>
      <c r="DL46" s="766"/>
      <c r="DM46" s="766"/>
      <c r="DN46" s="766"/>
      <c r="DO46" s="766"/>
      <c r="DP46" s="766"/>
      <c r="DQ46" s="766"/>
      <c r="DR46" s="766"/>
      <c r="DS46" s="766"/>
      <c r="DT46" s="766"/>
      <c r="DU46" s="766"/>
      <c r="DV46" s="766"/>
      <c r="DW46" s="766"/>
      <c r="DX46" s="766"/>
      <c r="DY46" s="766"/>
      <c r="DZ46" s="766"/>
      <c r="EA46" s="766"/>
      <c r="EB46" s="766"/>
      <c r="EC46" s="766"/>
      <c r="ED46" s="766"/>
      <c r="EE46" s="766"/>
      <c r="EF46" s="766"/>
      <c r="EG46" s="766"/>
      <c r="EH46" s="766"/>
      <c r="EI46" s="766"/>
      <c r="EJ46" s="766"/>
      <c r="EK46" s="766"/>
      <c r="EL46" s="766"/>
      <c r="EM46" s="766"/>
      <c r="EN46" s="766"/>
    </row>
    <row r="47" spans="1:144" s="214" customFormat="1" ht="48" customHeight="1">
      <c r="A47" s="201" t="e">
        <f>+A45+1</f>
        <v>#REF!</v>
      </c>
      <c r="B47" s="202" t="s">
        <v>289</v>
      </c>
      <c r="C47" s="203" t="s">
        <v>306</v>
      </c>
      <c r="D47" s="204" t="s">
        <v>100</v>
      </c>
      <c r="E47" s="218">
        <v>1</v>
      </c>
      <c r="F47" s="206">
        <f>+E47*$F$9</f>
        <v>0</v>
      </c>
      <c r="G47" s="206">
        <v>1</v>
      </c>
      <c r="H47" s="206">
        <f>+G47*$H$9</f>
        <v>0</v>
      </c>
      <c r="I47" s="206"/>
      <c r="J47" s="206"/>
      <c r="K47" s="206"/>
      <c r="L47" s="206"/>
      <c r="M47" s="206"/>
      <c r="N47" s="206"/>
      <c r="O47" s="206"/>
      <c r="P47" s="207"/>
      <c r="Q47" s="206"/>
      <c r="R47" s="206"/>
      <c r="S47" s="206"/>
      <c r="T47" s="206"/>
      <c r="U47" s="206">
        <f t="shared" si="51"/>
        <v>0</v>
      </c>
      <c r="V47" s="208">
        <f t="shared" si="4"/>
        <v>0</v>
      </c>
      <c r="W47" s="209">
        <f>+'A.P.U. 2024'!F370</f>
        <v>4338165.6229282003</v>
      </c>
      <c r="X47" s="209">
        <f>+'A.P.U. 2024'!G370</f>
        <v>42644.497191600436</v>
      </c>
      <c r="Y47" s="210">
        <f t="shared" si="1"/>
        <v>0</v>
      </c>
      <c r="Z47" s="211">
        <f t="shared" si="52"/>
        <v>0</v>
      </c>
      <c r="AA47" s="212">
        <f>+'A.P.U. 2024'!G363+'A.P.U. 2024'!G364</f>
        <v>32201.02555334822</v>
      </c>
      <c r="AB47" s="209">
        <f t="shared" si="28"/>
        <v>0</v>
      </c>
      <c r="AC47" s="212">
        <f>+'A.P.U. 2024'!G366</f>
        <v>5117.7</v>
      </c>
      <c r="AD47" s="211">
        <f t="shared" si="7"/>
        <v>0</v>
      </c>
      <c r="AE47" s="210">
        <f>+'A.P.U. 2024'!G365</f>
        <v>301.8066622222222</v>
      </c>
      <c r="AF47" s="209">
        <f>+AE47*V47</f>
        <v>0</v>
      </c>
      <c r="AG47" s="210">
        <f>+'A.P.U. 2024'!G367+'A.P.U. 2024'!G368</f>
        <v>5023.9649760299999</v>
      </c>
      <c r="AH47" s="210">
        <f>+AG47*V47</f>
        <v>0</v>
      </c>
      <c r="AI47" s="647">
        <f t="shared" si="10"/>
        <v>0</v>
      </c>
      <c r="AJ47" s="604">
        <f>+'A.P.U. 2024'!L363</f>
        <v>0</v>
      </c>
      <c r="AK47" s="605"/>
      <c r="AL47" s="605"/>
      <c r="AM47" s="766"/>
      <c r="AN47" s="766"/>
      <c r="AO47" s="766"/>
      <c r="AP47" s="766"/>
      <c r="AQ47" s="766"/>
      <c r="AR47" s="766"/>
      <c r="AS47" s="766"/>
      <c r="AT47" s="766"/>
      <c r="AU47" s="766"/>
      <c r="AV47" s="766"/>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6"/>
      <c r="CM47" s="766"/>
      <c r="CN47" s="766"/>
      <c r="CO47" s="766"/>
      <c r="CP47" s="766"/>
      <c r="CQ47" s="766"/>
      <c r="CR47" s="766"/>
      <c r="CS47" s="766"/>
      <c r="CT47" s="766"/>
      <c r="CU47" s="766"/>
      <c r="CV47" s="766"/>
      <c r="CW47" s="766"/>
      <c r="CX47" s="766"/>
      <c r="CY47" s="766"/>
      <c r="CZ47" s="766"/>
      <c r="DA47" s="766"/>
      <c r="DB47" s="766"/>
      <c r="DC47" s="766"/>
      <c r="DD47" s="766"/>
      <c r="DE47" s="766"/>
      <c r="DF47" s="766"/>
      <c r="DG47" s="766"/>
      <c r="DH47" s="766"/>
      <c r="DI47" s="766"/>
      <c r="DJ47" s="766"/>
      <c r="DK47" s="766"/>
      <c r="DL47" s="766"/>
      <c r="DM47" s="766"/>
      <c r="DN47" s="766"/>
      <c r="DO47" s="766"/>
      <c r="DP47" s="766"/>
      <c r="DQ47" s="766"/>
      <c r="DR47" s="766"/>
      <c r="DS47" s="766"/>
      <c r="DT47" s="766"/>
      <c r="DU47" s="766"/>
      <c r="DV47" s="766"/>
      <c r="DW47" s="766"/>
      <c r="DX47" s="766"/>
      <c r="DY47" s="766"/>
      <c r="DZ47" s="766"/>
      <c r="EA47" s="766"/>
      <c r="EB47" s="766"/>
      <c r="EC47" s="766"/>
      <c r="ED47" s="766"/>
      <c r="EE47" s="766"/>
      <c r="EF47" s="766"/>
      <c r="EG47" s="766"/>
      <c r="EH47" s="766"/>
      <c r="EI47" s="766"/>
      <c r="EJ47" s="766"/>
      <c r="EK47" s="766"/>
      <c r="EL47" s="766"/>
      <c r="EM47" s="766"/>
      <c r="EN47" s="766"/>
    </row>
    <row r="48" spans="1:144" s="214" customFormat="1" ht="48" customHeight="1">
      <c r="A48" s="201" t="e">
        <f t="shared" si="5"/>
        <v>#REF!</v>
      </c>
      <c r="B48" s="202" t="s">
        <v>289</v>
      </c>
      <c r="C48" s="203" t="s">
        <v>307</v>
      </c>
      <c r="D48" s="204" t="s">
        <v>100</v>
      </c>
      <c r="E48" s="218"/>
      <c r="F48" s="206"/>
      <c r="G48" s="206"/>
      <c r="H48" s="206"/>
      <c r="I48" s="206">
        <v>1</v>
      </c>
      <c r="J48" s="206">
        <f>+I48*J9</f>
        <v>0</v>
      </c>
      <c r="K48" s="206">
        <v>1</v>
      </c>
      <c r="L48" s="206">
        <f>+K48*$L$9</f>
        <v>0</v>
      </c>
      <c r="M48" s="206">
        <v>1</v>
      </c>
      <c r="N48" s="206">
        <f>+M48*$N$9</f>
        <v>0</v>
      </c>
      <c r="O48" s="206">
        <v>1</v>
      </c>
      <c r="P48" s="207">
        <f>+O48*$P$9</f>
        <v>0</v>
      </c>
      <c r="Q48" s="206">
        <v>1</v>
      </c>
      <c r="R48" s="206">
        <f>+Q48*$R$9</f>
        <v>0</v>
      </c>
      <c r="S48" s="206">
        <v>1</v>
      </c>
      <c r="T48" s="206">
        <f>+S48*$T$9</f>
        <v>0</v>
      </c>
      <c r="U48" s="206">
        <f t="shared" si="51"/>
        <v>0</v>
      </c>
      <c r="V48" s="208">
        <f t="shared" si="4"/>
        <v>0</v>
      </c>
      <c r="W48" s="209">
        <f>+'A.P.U. 2024'!F380</f>
        <v>68574.772342894503</v>
      </c>
      <c r="X48" s="209">
        <f>+'A.P.U. 2024'!G380</f>
        <v>80401.170662222226</v>
      </c>
      <c r="Y48" s="210">
        <f>V48*W48</f>
        <v>0</v>
      </c>
      <c r="Z48" s="211">
        <f t="shared" si="52"/>
        <v>0</v>
      </c>
      <c r="AA48" s="212">
        <f>+'A.P.U. 2024'!G373+'A.P.U. 2024'!G374</f>
        <v>67247</v>
      </c>
      <c r="AB48" s="209">
        <f t="shared" si="28"/>
        <v>0</v>
      </c>
      <c r="AC48" s="212">
        <f>+'A.P.U. 2024'!G376</f>
        <v>6823.6</v>
      </c>
      <c r="AD48" s="211">
        <f t="shared" si="7"/>
        <v>0</v>
      </c>
      <c r="AE48" s="210">
        <f>+'A.P.U. 2024'!G375</f>
        <v>301.8066622222222</v>
      </c>
      <c r="AF48" s="209">
        <f>+AE48*V48</f>
        <v>0</v>
      </c>
      <c r="AG48" s="210">
        <f>+'A.P.U. 2024'!G377+'A.P.U. 2024'!G378</f>
        <v>6028.7640000000001</v>
      </c>
      <c r="AH48" s="210">
        <f>+AG48*V48</f>
        <v>0</v>
      </c>
      <c r="AI48" s="647">
        <f t="shared" si="10"/>
        <v>0</v>
      </c>
      <c r="AJ48" s="604">
        <f>+'A.P.U. 2024'!L373</f>
        <v>0</v>
      </c>
      <c r="AK48" s="605"/>
      <c r="AL48" s="605"/>
      <c r="AM48" s="766"/>
      <c r="AN48" s="766"/>
      <c r="AO48" s="766"/>
      <c r="AP48" s="766"/>
      <c r="AQ48" s="766"/>
      <c r="AR48" s="766"/>
      <c r="AS48" s="766"/>
      <c r="AT48" s="766"/>
      <c r="AU48" s="766"/>
      <c r="AV48" s="766"/>
      <c r="AW48" s="766"/>
      <c r="AX48" s="766"/>
      <c r="AY48" s="766"/>
      <c r="AZ48" s="766"/>
      <c r="BA48" s="766"/>
      <c r="BB48" s="766"/>
      <c r="BC48" s="766"/>
      <c r="BD48" s="766"/>
      <c r="BE48" s="766"/>
      <c r="BF48" s="766"/>
      <c r="BG48" s="766"/>
      <c r="BH48" s="766"/>
      <c r="BI48" s="766"/>
      <c r="BJ48" s="766"/>
      <c r="BK48" s="766"/>
      <c r="BL48" s="766"/>
      <c r="BM48" s="766"/>
      <c r="BN48" s="766"/>
      <c r="BO48" s="766"/>
      <c r="BP48" s="766"/>
      <c r="BQ48" s="766"/>
      <c r="BR48" s="766"/>
      <c r="BS48" s="766"/>
      <c r="BT48" s="766"/>
      <c r="BU48" s="766"/>
      <c r="BV48" s="766"/>
      <c r="BW48" s="766"/>
      <c r="BX48" s="766"/>
      <c r="BY48" s="766"/>
      <c r="BZ48" s="766"/>
      <c r="CA48" s="766"/>
      <c r="CB48" s="766"/>
      <c r="CC48" s="766"/>
      <c r="CD48" s="766"/>
      <c r="CE48" s="766"/>
      <c r="CF48" s="766"/>
      <c r="CG48" s="766"/>
      <c r="CH48" s="766"/>
      <c r="CI48" s="766"/>
      <c r="CJ48" s="766"/>
      <c r="CK48" s="766"/>
      <c r="CL48" s="766"/>
      <c r="CM48" s="766"/>
      <c r="CN48" s="766"/>
      <c r="CO48" s="766"/>
      <c r="CP48" s="766"/>
      <c r="CQ48" s="766"/>
      <c r="CR48" s="766"/>
      <c r="CS48" s="766"/>
      <c r="CT48" s="766"/>
      <c r="CU48" s="766"/>
      <c r="CV48" s="766"/>
      <c r="CW48" s="766"/>
      <c r="CX48" s="766"/>
      <c r="CY48" s="766"/>
      <c r="CZ48" s="766"/>
      <c r="DA48" s="766"/>
      <c r="DB48" s="766"/>
      <c r="DC48" s="766"/>
      <c r="DD48" s="766"/>
      <c r="DE48" s="766"/>
      <c r="DF48" s="766"/>
      <c r="DG48" s="766"/>
      <c r="DH48" s="766"/>
      <c r="DI48" s="766"/>
      <c r="DJ48" s="766"/>
      <c r="DK48" s="766"/>
      <c r="DL48" s="766"/>
      <c r="DM48" s="766"/>
      <c r="DN48" s="766"/>
      <c r="DO48" s="766"/>
      <c r="DP48" s="766"/>
      <c r="DQ48" s="766"/>
      <c r="DR48" s="766"/>
      <c r="DS48" s="766"/>
      <c r="DT48" s="766"/>
      <c r="DU48" s="766"/>
      <c r="DV48" s="766"/>
      <c r="DW48" s="766"/>
      <c r="DX48" s="766"/>
      <c r="DY48" s="766"/>
      <c r="DZ48" s="766"/>
      <c r="EA48" s="766"/>
      <c r="EB48" s="766"/>
      <c r="EC48" s="766"/>
      <c r="ED48" s="766"/>
      <c r="EE48" s="766"/>
      <c r="EF48" s="766"/>
      <c r="EG48" s="766"/>
      <c r="EH48" s="766"/>
      <c r="EI48" s="766"/>
      <c r="EJ48" s="766"/>
      <c r="EK48" s="766"/>
      <c r="EL48" s="766"/>
      <c r="EM48" s="766"/>
      <c r="EN48" s="766"/>
    </row>
    <row r="49" spans="1:144" s="214" customFormat="1" ht="48" customHeight="1">
      <c r="A49" s="201" t="e">
        <f t="shared" si="5"/>
        <v>#REF!</v>
      </c>
      <c r="B49" s="202" t="s">
        <v>289</v>
      </c>
      <c r="C49" s="219" t="s">
        <v>308</v>
      </c>
      <c r="D49" s="204" t="s">
        <v>100</v>
      </c>
      <c r="E49" s="220">
        <v>0</v>
      </c>
      <c r="F49" s="206">
        <f>+E49*$F$9</f>
        <v>0</v>
      </c>
      <c r="G49" s="220">
        <v>0</v>
      </c>
      <c r="H49" s="206">
        <f>+G49*$F$9</f>
        <v>0</v>
      </c>
      <c r="I49" s="220">
        <v>0</v>
      </c>
      <c r="J49" s="206">
        <f>+I49*$F$9</f>
        <v>0</v>
      </c>
      <c r="K49" s="220">
        <v>0</v>
      </c>
      <c r="L49" s="206">
        <f>+K49*$F$9</f>
        <v>0</v>
      </c>
      <c r="M49" s="220">
        <v>0</v>
      </c>
      <c r="N49" s="206">
        <f>+M49*$F$9</f>
        <v>0</v>
      </c>
      <c r="O49" s="220">
        <v>0</v>
      </c>
      <c r="P49" s="206">
        <f>+O49*$F$9</f>
        <v>0</v>
      </c>
      <c r="Q49" s="220">
        <v>0</v>
      </c>
      <c r="R49" s="206">
        <f>+Q49*$F$9</f>
        <v>0</v>
      </c>
      <c r="S49" s="220">
        <v>0</v>
      </c>
      <c r="T49" s="206">
        <f>+S49*$F$9</f>
        <v>0</v>
      </c>
      <c r="U49" s="206">
        <f t="shared" si="51"/>
        <v>0</v>
      </c>
      <c r="V49" s="208">
        <f t="shared" si="4"/>
        <v>0</v>
      </c>
      <c r="W49" s="209">
        <f>+'A.P.U. 2024'!F390</f>
        <v>41076.705116003744</v>
      </c>
      <c r="X49" s="209">
        <f>+'A.P.U. 2024'!G390</f>
        <v>47678.470662222229</v>
      </c>
      <c r="Y49" s="210">
        <f>V49*W49</f>
        <v>0</v>
      </c>
      <c r="Z49" s="211">
        <f t="shared" si="52"/>
        <v>0</v>
      </c>
      <c r="AA49" s="212">
        <f>+'A.P.U. 2024'!G383</f>
        <v>23715.3</v>
      </c>
      <c r="AB49" s="213">
        <f>+AA49*V49</f>
        <v>0</v>
      </c>
      <c r="AC49" s="212">
        <f>+'A.P.U. 2024'!G384+'A.P.U. 2024'!G386</f>
        <v>17632.599999999999</v>
      </c>
      <c r="AD49" s="211">
        <f>+AC49*V49</f>
        <v>0</v>
      </c>
      <c r="AE49" s="210">
        <f>+'A.P.U. 2024'!G385</f>
        <v>301.8066622222222</v>
      </c>
      <c r="AF49" s="209">
        <f>+AE49*V49</f>
        <v>0</v>
      </c>
      <c r="AG49" s="210">
        <f>+'A.P.U. 2024'!G387+'A.P.U. 2024'!G388</f>
        <v>6028.7640000000001</v>
      </c>
      <c r="AH49" s="210">
        <f>+AG49*V49</f>
        <v>0</v>
      </c>
      <c r="AI49" s="647">
        <f t="shared" si="10"/>
        <v>0</v>
      </c>
      <c r="AJ49" s="604">
        <f>+'A.P.U. 2024'!L383</f>
        <v>0</v>
      </c>
      <c r="AK49" s="605"/>
      <c r="AL49" s="605"/>
      <c r="AM49" s="766"/>
      <c r="AN49" s="766"/>
      <c r="AO49" s="766"/>
      <c r="AP49" s="766"/>
      <c r="AQ49" s="766"/>
      <c r="AR49" s="766"/>
      <c r="AS49" s="766"/>
      <c r="AT49" s="766"/>
      <c r="AU49" s="766"/>
      <c r="AV49" s="766"/>
      <c r="AW49" s="766"/>
      <c r="AX49" s="766"/>
      <c r="AY49" s="766"/>
      <c r="AZ49" s="766"/>
      <c r="BA49" s="766"/>
      <c r="BB49" s="766"/>
      <c r="BC49" s="766"/>
      <c r="BD49" s="766"/>
      <c r="BE49" s="766"/>
      <c r="BF49" s="766"/>
      <c r="BG49" s="766"/>
      <c r="BH49" s="766"/>
      <c r="BI49" s="766"/>
      <c r="BJ49" s="766"/>
      <c r="BK49" s="766"/>
      <c r="BL49" s="766"/>
      <c r="BM49" s="766"/>
      <c r="BN49" s="766"/>
      <c r="BO49" s="766"/>
      <c r="BP49" s="766"/>
      <c r="BQ49" s="766"/>
      <c r="BR49" s="766"/>
      <c r="BS49" s="766"/>
      <c r="BT49" s="766"/>
      <c r="BU49" s="766"/>
      <c r="BV49" s="766"/>
      <c r="BW49" s="766"/>
      <c r="BX49" s="766"/>
      <c r="BY49" s="766"/>
      <c r="BZ49" s="766"/>
      <c r="CA49" s="766"/>
      <c r="CB49" s="766"/>
      <c r="CC49" s="766"/>
      <c r="CD49" s="766"/>
      <c r="CE49" s="766"/>
      <c r="CF49" s="766"/>
      <c r="CG49" s="766"/>
      <c r="CH49" s="766"/>
      <c r="CI49" s="766"/>
      <c r="CJ49" s="766"/>
      <c r="CK49" s="766"/>
      <c r="CL49" s="766"/>
      <c r="CM49" s="766"/>
      <c r="CN49" s="766"/>
      <c r="CO49" s="766"/>
      <c r="CP49" s="766"/>
      <c r="CQ49" s="766"/>
      <c r="CR49" s="766"/>
      <c r="CS49" s="766"/>
      <c r="CT49" s="766"/>
      <c r="CU49" s="766"/>
      <c r="CV49" s="766"/>
      <c r="CW49" s="766"/>
      <c r="CX49" s="766"/>
      <c r="CY49" s="766"/>
      <c r="CZ49" s="766"/>
      <c r="DA49" s="766"/>
      <c r="DB49" s="766"/>
      <c r="DC49" s="766"/>
      <c r="DD49" s="766"/>
      <c r="DE49" s="766"/>
      <c r="DF49" s="766"/>
      <c r="DG49" s="766"/>
      <c r="DH49" s="766"/>
      <c r="DI49" s="766"/>
      <c r="DJ49" s="766"/>
      <c r="DK49" s="766"/>
      <c r="DL49" s="766"/>
      <c r="DM49" s="766"/>
      <c r="DN49" s="766"/>
      <c r="DO49" s="766"/>
      <c r="DP49" s="766"/>
      <c r="DQ49" s="766"/>
      <c r="DR49" s="766"/>
      <c r="DS49" s="766"/>
      <c r="DT49" s="766"/>
      <c r="DU49" s="766"/>
      <c r="DV49" s="766"/>
      <c r="DW49" s="766"/>
      <c r="DX49" s="766"/>
      <c r="DY49" s="766"/>
      <c r="DZ49" s="766"/>
      <c r="EA49" s="766"/>
      <c r="EB49" s="766"/>
      <c r="EC49" s="766"/>
      <c r="ED49" s="766"/>
      <c r="EE49" s="766"/>
      <c r="EF49" s="766"/>
      <c r="EG49" s="766"/>
      <c r="EH49" s="766"/>
      <c r="EI49" s="766"/>
      <c r="EJ49" s="766"/>
      <c r="EK49" s="766"/>
      <c r="EL49" s="766"/>
      <c r="EM49" s="766"/>
      <c r="EN49" s="766"/>
    </row>
    <row r="50" spans="1:144" s="60" customFormat="1" ht="24" customHeight="1">
      <c r="A50" s="122" t="e">
        <f>+A47+1</f>
        <v>#REF!</v>
      </c>
      <c r="B50" s="221"/>
      <c r="C50" s="222" t="s">
        <v>309</v>
      </c>
      <c r="D50" s="223"/>
      <c r="E50" s="224"/>
      <c r="F50" s="135"/>
      <c r="G50" s="135"/>
      <c r="H50" s="135"/>
      <c r="I50" s="135"/>
      <c r="J50" s="135"/>
      <c r="K50" s="135"/>
      <c r="L50" s="135"/>
      <c r="M50" s="135"/>
      <c r="N50" s="135"/>
      <c r="O50" s="135"/>
      <c r="P50" s="136"/>
      <c r="Q50" s="135"/>
      <c r="R50" s="135"/>
      <c r="S50" s="135"/>
      <c r="T50" s="135"/>
      <c r="U50" s="135"/>
      <c r="V50" s="113"/>
      <c r="W50" s="225"/>
      <c r="X50" s="226"/>
      <c r="Y50" s="133"/>
      <c r="Z50" s="130"/>
      <c r="AA50" s="137"/>
      <c r="AB50" s="138"/>
      <c r="AC50" s="137"/>
      <c r="AD50" s="139"/>
      <c r="AE50" s="140"/>
      <c r="AF50" s="141"/>
      <c r="AG50" s="227"/>
      <c r="AH50" s="139"/>
      <c r="AI50" s="647">
        <f t="shared" si="10"/>
        <v>0</v>
      </c>
      <c r="AJ50" s="228"/>
      <c r="AM50" s="766"/>
      <c r="AN50" s="766"/>
      <c r="AO50" s="766"/>
      <c r="AP50" s="766"/>
      <c r="AQ50" s="766"/>
      <c r="AR50" s="766"/>
      <c r="AS50" s="766"/>
      <c r="AT50" s="766"/>
      <c r="AU50" s="766"/>
      <c r="AV50" s="766"/>
      <c r="AW50" s="766"/>
      <c r="AX50" s="766"/>
      <c r="AY50" s="766"/>
      <c r="AZ50" s="766"/>
      <c r="BA50" s="766"/>
      <c r="BB50" s="766"/>
      <c r="BC50" s="766"/>
      <c r="BD50" s="766"/>
      <c r="BE50" s="766"/>
      <c r="BF50" s="766"/>
      <c r="BG50" s="766"/>
      <c r="BH50" s="766"/>
      <c r="BI50" s="766"/>
      <c r="BJ50" s="766"/>
      <c r="BK50" s="766"/>
      <c r="BL50" s="766"/>
      <c r="BM50" s="766"/>
      <c r="BN50" s="766"/>
      <c r="BO50" s="766"/>
      <c r="BP50" s="766"/>
      <c r="BQ50" s="766"/>
      <c r="BR50" s="766"/>
      <c r="BS50" s="766"/>
      <c r="BT50" s="766"/>
      <c r="BU50" s="766"/>
      <c r="BV50" s="766"/>
      <c r="BW50" s="766"/>
      <c r="BX50" s="766"/>
      <c r="BY50" s="766"/>
      <c r="BZ50" s="766"/>
      <c r="CA50" s="766"/>
      <c r="CB50" s="766"/>
      <c r="CC50" s="766"/>
      <c r="CD50" s="766"/>
      <c r="CE50" s="766"/>
      <c r="CF50" s="766"/>
      <c r="CG50" s="766"/>
      <c r="CH50" s="766"/>
      <c r="CI50" s="766"/>
      <c r="CJ50" s="766"/>
      <c r="CK50" s="766"/>
      <c r="CL50" s="766"/>
      <c r="CM50" s="766"/>
      <c r="CN50" s="766"/>
      <c r="CO50" s="766"/>
      <c r="CP50" s="766"/>
      <c r="CQ50" s="766"/>
      <c r="CR50" s="766"/>
      <c r="CS50" s="766"/>
      <c r="CT50" s="766"/>
      <c r="CU50" s="766"/>
      <c r="CV50" s="766"/>
      <c r="CW50" s="766"/>
      <c r="CX50" s="766"/>
      <c r="CY50" s="766"/>
      <c r="CZ50" s="766"/>
      <c r="DA50" s="766"/>
      <c r="DB50" s="766"/>
      <c r="DC50" s="766"/>
      <c r="DD50" s="766"/>
      <c r="DE50" s="766"/>
      <c r="DF50" s="766"/>
      <c r="DG50" s="766"/>
      <c r="DH50" s="766"/>
      <c r="DI50" s="766"/>
      <c r="DJ50" s="766"/>
      <c r="DK50" s="766"/>
      <c r="DL50" s="766"/>
      <c r="DM50" s="766"/>
      <c r="DN50" s="766"/>
      <c r="DO50" s="766"/>
      <c r="DP50" s="766"/>
      <c r="DQ50" s="766"/>
      <c r="DR50" s="766"/>
      <c r="DS50" s="766"/>
      <c r="DT50" s="766"/>
      <c r="DU50" s="766"/>
      <c r="DV50" s="766"/>
      <c r="DW50" s="766"/>
      <c r="DX50" s="766"/>
      <c r="DY50" s="766"/>
      <c r="DZ50" s="766"/>
      <c r="EA50" s="766"/>
      <c r="EB50" s="766"/>
      <c r="EC50" s="766"/>
      <c r="ED50" s="766"/>
      <c r="EE50" s="766"/>
      <c r="EF50" s="766"/>
      <c r="EG50" s="766"/>
      <c r="EH50" s="766"/>
      <c r="EI50" s="766"/>
      <c r="EJ50" s="766"/>
      <c r="EK50" s="766"/>
      <c r="EL50" s="766"/>
      <c r="EM50" s="766"/>
      <c r="EN50" s="766"/>
    </row>
    <row r="51" spans="1:144" s="60" customFormat="1" ht="48" customHeight="1">
      <c r="A51" s="122" t="e">
        <f t="shared" ref="A51:A56" si="53">+A50+0.1</f>
        <v>#REF!</v>
      </c>
      <c r="B51" s="123" t="s">
        <v>281</v>
      </c>
      <c r="C51" s="229" t="s">
        <v>910</v>
      </c>
      <c r="D51" s="125" t="s">
        <v>311</v>
      </c>
      <c r="E51" s="224">
        <f>0.1*10</f>
        <v>1</v>
      </c>
      <c r="F51" s="135">
        <f>+E51*$F$10</f>
        <v>29</v>
      </c>
      <c r="G51" s="135">
        <f>0.1*15</f>
        <v>1.5</v>
      </c>
      <c r="H51" s="135">
        <f>+G51*$H$10</f>
        <v>0</v>
      </c>
      <c r="I51" s="135">
        <f>0.1*20</f>
        <v>2</v>
      </c>
      <c r="J51" s="135">
        <f>+I51*$J$10</f>
        <v>0</v>
      </c>
      <c r="K51" s="135">
        <f>0.1*30</f>
        <v>3</v>
      </c>
      <c r="L51" s="135">
        <f>+K51*$L$10</f>
        <v>0</v>
      </c>
      <c r="M51" s="135">
        <f>0.1*40</f>
        <v>4</v>
      </c>
      <c r="N51" s="135">
        <f>+M51*$N$10</f>
        <v>0</v>
      </c>
      <c r="O51" s="135">
        <f>0.1*50</f>
        <v>5</v>
      </c>
      <c r="P51" s="136">
        <f>+O51*$P$10</f>
        <v>5</v>
      </c>
      <c r="Q51" s="135">
        <f>0.1*70</f>
        <v>7</v>
      </c>
      <c r="R51" s="135">
        <f>+Q51*$R$10</f>
        <v>0</v>
      </c>
      <c r="S51" s="135">
        <f>0.1*90</f>
        <v>9</v>
      </c>
      <c r="T51" s="135">
        <f>+S51*$T$10</f>
        <v>0</v>
      </c>
      <c r="U51" s="135">
        <f t="shared" ref="U51:U59" si="54">+F51+H51+J51+L51+N51+P51+R51+T51</f>
        <v>34</v>
      </c>
      <c r="V51" s="113">
        <f t="shared" si="4"/>
        <v>34</v>
      </c>
      <c r="W51" s="230">
        <f>+'A.P.U. 2024'!F9</f>
        <v>39347.699999999997</v>
      </c>
      <c r="X51" s="230">
        <f>+'A.P.U. 2024'!G9</f>
        <v>39347.699999999997</v>
      </c>
      <c r="Y51" s="133">
        <f t="shared" ref="Y51:Y59" si="55">V51*W51</f>
        <v>1337821.7999999998</v>
      </c>
      <c r="Z51" s="130">
        <f t="shared" ref="Z51:Z59" si="56">V51*X51</f>
        <v>1337821.7999999998</v>
      </c>
      <c r="AA51" s="137"/>
      <c r="AB51" s="138">
        <f t="shared" ref="AB51:AB59" si="57">+AA51*V51</f>
        <v>0</v>
      </c>
      <c r="AC51" s="137"/>
      <c r="AD51" s="139">
        <f t="shared" ref="AD51:AD59" si="58">+AC51*V51</f>
        <v>0</v>
      </c>
      <c r="AE51" s="140"/>
      <c r="AF51" s="141">
        <f t="shared" ref="AF51:AF59" si="59">+AE51*V51</f>
        <v>0</v>
      </c>
      <c r="AG51" s="140">
        <f>+'A.P.U. 2024'!G9</f>
        <v>39347.699999999997</v>
      </c>
      <c r="AH51" s="139">
        <f t="shared" ref="AH51:AH59" si="60">+AG51*V51</f>
        <v>1337821.7999999998</v>
      </c>
      <c r="AI51" s="647">
        <f t="shared" si="10"/>
        <v>1337821.7999999998</v>
      </c>
      <c r="AJ51" s="228"/>
      <c r="AM51" s="766"/>
      <c r="AN51" s="766"/>
      <c r="AO51" s="766"/>
      <c r="AP51" s="766"/>
      <c r="AQ51" s="766"/>
      <c r="AR51" s="766"/>
      <c r="AS51" s="766"/>
      <c r="AT51" s="766"/>
      <c r="AU51" s="766"/>
      <c r="AV51" s="766"/>
      <c r="AW51" s="766"/>
      <c r="AX51" s="766"/>
      <c r="AY51" s="766"/>
      <c r="AZ51" s="766"/>
      <c r="BA51" s="766"/>
      <c r="BB51" s="766"/>
      <c r="BC51" s="766"/>
      <c r="BD51" s="766"/>
      <c r="BE51" s="766"/>
      <c r="BF51" s="766"/>
      <c r="BG51" s="766"/>
      <c r="BH51" s="766"/>
      <c r="BI51" s="766"/>
      <c r="BJ51" s="766"/>
      <c r="BK51" s="766"/>
      <c r="BL51" s="766"/>
      <c r="BM51" s="766"/>
      <c r="BN51" s="766"/>
      <c r="BO51" s="766"/>
      <c r="BP51" s="766"/>
      <c r="BQ51" s="766"/>
      <c r="BR51" s="766"/>
      <c r="BS51" s="766"/>
      <c r="BT51" s="766"/>
      <c r="BU51" s="766"/>
      <c r="BV51" s="766"/>
      <c r="BW51" s="766"/>
      <c r="BX51" s="766"/>
      <c r="BY51" s="766"/>
      <c r="BZ51" s="766"/>
      <c r="CA51" s="766"/>
      <c r="CB51" s="766"/>
      <c r="CC51" s="766"/>
      <c r="CD51" s="766"/>
      <c r="CE51" s="766"/>
      <c r="CF51" s="766"/>
      <c r="CG51" s="766"/>
      <c r="CH51" s="766"/>
      <c r="CI51" s="766"/>
      <c r="CJ51" s="766"/>
      <c r="CK51" s="766"/>
      <c r="CL51" s="766"/>
      <c r="CM51" s="766"/>
      <c r="CN51" s="766"/>
      <c r="CO51" s="766"/>
      <c r="CP51" s="766"/>
      <c r="CQ51" s="766"/>
      <c r="CR51" s="766"/>
      <c r="CS51" s="766"/>
      <c r="CT51" s="766"/>
      <c r="CU51" s="766"/>
      <c r="CV51" s="766"/>
      <c r="CW51" s="766"/>
      <c r="CX51" s="766"/>
      <c r="CY51" s="766"/>
      <c r="CZ51" s="766"/>
      <c r="DA51" s="766"/>
      <c r="DB51" s="766"/>
      <c r="DC51" s="766"/>
      <c r="DD51" s="766"/>
      <c r="DE51" s="766"/>
      <c r="DF51" s="766"/>
      <c r="DG51" s="766"/>
      <c r="DH51" s="766"/>
      <c r="DI51" s="766"/>
      <c r="DJ51" s="766"/>
      <c r="DK51" s="766"/>
      <c r="DL51" s="766"/>
      <c r="DM51" s="766"/>
      <c r="DN51" s="766"/>
      <c r="DO51" s="766"/>
      <c r="DP51" s="766"/>
      <c r="DQ51" s="766"/>
      <c r="DR51" s="766"/>
      <c r="DS51" s="766"/>
      <c r="DT51" s="766"/>
      <c r="DU51" s="766"/>
      <c r="DV51" s="766"/>
      <c r="DW51" s="766"/>
      <c r="DX51" s="766"/>
      <c r="DY51" s="766"/>
      <c r="DZ51" s="766"/>
      <c r="EA51" s="766"/>
      <c r="EB51" s="766"/>
      <c r="EC51" s="766"/>
      <c r="ED51" s="766"/>
      <c r="EE51" s="766"/>
      <c r="EF51" s="766"/>
      <c r="EG51" s="766"/>
      <c r="EH51" s="766"/>
      <c r="EI51" s="766"/>
      <c r="EJ51" s="766"/>
      <c r="EK51" s="766"/>
      <c r="EL51" s="766"/>
      <c r="EM51" s="766"/>
      <c r="EN51" s="766"/>
    </row>
    <row r="52" spans="1:144" s="60" customFormat="1" ht="48" customHeight="1">
      <c r="A52" s="122" t="e">
        <f t="shared" si="53"/>
        <v>#REF!</v>
      </c>
      <c r="B52" s="123" t="s">
        <v>284</v>
      </c>
      <c r="C52" s="229" t="s">
        <v>94</v>
      </c>
      <c r="D52" s="125" t="s">
        <v>311</v>
      </c>
      <c r="E52" s="224">
        <f>+E51</f>
        <v>1</v>
      </c>
      <c r="F52" s="135">
        <f>+E52*$F$10</f>
        <v>29</v>
      </c>
      <c r="G52" s="135">
        <f>+G51</f>
        <v>1.5</v>
      </c>
      <c r="H52" s="135">
        <f>+G52*$H$10</f>
        <v>0</v>
      </c>
      <c r="I52" s="135">
        <f>+I51</f>
        <v>2</v>
      </c>
      <c r="J52" s="135">
        <f>+I52*$J$10</f>
        <v>0</v>
      </c>
      <c r="K52" s="135">
        <f>+K51</f>
        <v>3</v>
      </c>
      <c r="L52" s="135">
        <f>+K52*$L$10</f>
        <v>0</v>
      </c>
      <c r="M52" s="135">
        <f>+M51</f>
        <v>4</v>
      </c>
      <c r="N52" s="135">
        <f>+M52*$N$10</f>
        <v>0</v>
      </c>
      <c r="O52" s="135">
        <f>+O51</f>
        <v>5</v>
      </c>
      <c r="P52" s="136">
        <f>+O52*$P$10</f>
        <v>5</v>
      </c>
      <c r="Q52" s="135">
        <f>+Q51</f>
        <v>7</v>
      </c>
      <c r="R52" s="135">
        <f>+Q52*$P$10</f>
        <v>7</v>
      </c>
      <c r="S52" s="135">
        <f>+S51</f>
        <v>9</v>
      </c>
      <c r="T52" s="135">
        <f>+S52*$P$10</f>
        <v>9</v>
      </c>
      <c r="U52" s="135">
        <f t="shared" si="54"/>
        <v>50</v>
      </c>
      <c r="V52" s="113">
        <f t="shared" si="4"/>
        <v>50</v>
      </c>
      <c r="W52" s="230">
        <f>+'A.P.U. 2024'!F29</f>
        <v>3147.8160000000003</v>
      </c>
      <c r="X52" s="230">
        <f>+'A.P.U. 2024'!G29</f>
        <v>3147.8160000000003</v>
      </c>
      <c r="Y52" s="133">
        <f t="shared" si="55"/>
        <v>157390.80000000002</v>
      </c>
      <c r="Z52" s="130">
        <f t="shared" si="56"/>
        <v>157390.80000000002</v>
      </c>
      <c r="AA52" s="137"/>
      <c r="AB52" s="138">
        <f t="shared" si="57"/>
        <v>0</v>
      </c>
      <c r="AC52" s="137"/>
      <c r="AD52" s="139">
        <f t="shared" si="58"/>
        <v>0</v>
      </c>
      <c r="AE52" s="140"/>
      <c r="AF52" s="141">
        <f t="shared" si="59"/>
        <v>0</v>
      </c>
      <c r="AG52" s="140">
        <f>+'A.P.U. 2024'!G26+'A.P.U. 2024'!G27</f>
        <v>3147.8160000000003</v>
      </c>
      <c r="AH52" s="139">
        <f t="shared" si="60"/>
        <v>157390.80000000002</v>
      </c>
      <c r="AI52" s="647">
        <f t="shared" si="10"/>
        <v>157390.80000000002</v>
      </c>
      <c r="AJ52" s="228"/>
      <c r="AM52" s="766"/>
      <c r="AN52" s="766"/>
      <c r="AO52" s="766"/>
      <c r="AP52" s="766"/>
      <c r="AQ52" s="766"/>
      <c r="AR52" s="766"/>
      <c r="AS52" s="766"/>
      <c r="AT52" s="766"/>
      <c r="AU52" s="766"/>
      <c r="AV52" s="766"/>
      <c r="AW52" s="766"/>
      <c r="AX52" s="766"/>
      <c r="AY52" s="766"/>
      <c r="AZ52" s="766"/>
      <c r="BA52" s="766"/>
      <c r="BB52" s="766"/>
      <c r="BC52" s="766"/>
      <c r="BD52" s="766"/>
      <c r="BE52" s="766"/>
      <c r="BF52" s="766"/>
      <c r="BG52" s="766"/>
      <c r="BH52" s="766"/>
      <c r="BI52" s="766"/>
      <c r="BJ52" s="766"/>
      <c r="BK52" s="766"/>
      <c r="BL52" s="766"/>
      <c r="BM52" s="766"/>
      <c r="BN52" s="766"/>
      <c r="BO52" s="766"/>
      <c r="BP52" s="766"/>
      <c r="BQ52" s="766"/>
      <c r="BR52" s="766"/>
      <c r="BS52" s="766"/>
      <c r="BT52" s="766"/>
      <c r="BU52" s="766"/>
      <c r="BV52" s="766"/>
      <c r="BW52" s="766"/>
      <c r="BX52" s="766"/>
      <c r="BY52" s="766"/>
      <c r="BZ52" s="766"/>
      <c r="CA52" s="766"/>
      <c r="CB52" s="766"/>
      <c r="CC52" s="766"/>
      <c r="CD52" s="766"/>
      <c r="CE52" s="766"/>
      <c r="CF52" s="766"/>
      <c r="CG52" s="766"/>
      <c r="CH52" s="766"/>
      <c r="CI52" s="766"/>
      <c r="CJ52" s="766"/>
      <c r="CK52" s="766"/>
      <c r="CL52" s="766"/>
      <c r="CM52" s="766"/>
      <c r="CN52" s="766"/>
      <c r="CO52" s="766"/>
      <c r="CP52" s="766"/>
      <c r="CQ52" s="766"/>
      <c r="CR52" s="766"/>
      <c r="CS52" s="766"/>
      <c r="CT52" s="766"/>
      <c r="CU52" s="766"/>
      <c r="CV52" s="766"/>
      <c r="CW52" s="766"/>
      <c r="CX52" s="766"/>
      <c r="CY52" s="766"/>
      <c r="CZ52" s="766"/>
      <c r="DA52" s="766"/>
      <c r="DB52" s="766"/>
      <c r="DC52" s="766"/>
      <c r="DD52" s="766"/>
      <c r="DE52" s="766"/>
      <c r="DF52" s="766"/>
      <c r="DG52" s="766"/>
      <c r="DH52" s="766"/>
      <c r="DI52" s="766"/>
      <c r="DJ52" s="766"/>
      <c r="DK52" s="766"/>
      <c r="DL52" s="766"/>
      <c r="DM52" s="766"/>
      <c r="DN52" s="766"/>
      <c r="DO52" s="766"/>
      <c r="DP52" s="766"/>
      <c r="DQ52" s="766"/>
      <c r="DR52" s="766"/>
      <c r="DS52" s="766"/>
      <c r="DT52" s="766"/>
      <c r="DU52" s="766"/>
      <c r="DV52" s="766"/>
      <c r="DW52" s="766"/>
      <c r="DX52" s="766"/>
      <c r="DY52" s="766"/>
      <c r="DZ52" s="766"/>
      <c r="EA52" s="766"/>
      <c r="EB52" s="766"/>
      <c r="EC52" s="766"/>
      <c r="ED52" s="766"/>
      <c r="EE52" s="766"/>
      <c r="EF52" s="766"/>
      <c r="EG52" s="766"/>
      <c r="EH52" s="766"/>
      <c r="EI52" s="766"/>
      <c r="EJ52" s="766"/>
      <c r="EK52" s="766"/>
      <c r="EL52" s="766"/>
      <c r="EM52" s="766"/>
      <c r="EN52" s="766"/>
    </row>
    <row r="53" spans="1:144" s="243" customFormat="1" ht="48" customHeight="1">
      <c r="A53" s="231" t="e">
        <f>+A52+0.1</f>
        <v>#REF!</v>
      </c>
      <c r="B53" s="232" t="s">
        <v>312</v>
      </c>
      <c r="C53" s="233" t="s">
        <v>313</v>
      </c>
      <c r="D53" s="234" t="s">
        <v>314</v>
      </c>
      <c r="E53" s="235">
        <v>4.5</v>
      </c>
      <c r="F53" s="236">
        <f>+E53*$F$10</f>
        <v>130.5</v>
      </c>
      <c r="G53" s="237">
        <v>4.5</v>
      </c>
      <c r="H53" s="236">
        <f>+G53*$H$10</f>
        <v>0</v>
      </c>
      <c r="I53" s="237">
        <v>4.5</v>
      </c>
      <c r="J53" s="236">
        <f>+I53*$J$10</f>
        <v>0</v>
      </c>
      <c r="K53" s="237">
        <f>+I53+I53*20%</f>
        <v>5.4</v>
      </c>
      <c r="L53" s="236">
        <f>+K53*$L$10</f>
        <v>0</v>
      </c>
      <c r="M53" s="237">
        <f>+K53+K53*20%</f>
        <v>6.48</v>
      </c>
      <c r="N53" s="236">
        <f>+M53*$N$10</f>
        <v>0</v>
      </c>
      <c r="O53" s="237">
        <f>+M53+M53*20%</f>
        <v>7.7760000000000007</v>
      </c>
      <c r="P53" s="238">
        <f>+O53*$P$10</f>
        <v>7.7760000000000007</v>
      </c>
      <c r="Q53" s="237">
        <f>+O53+O53*20%</f>
        <v>9.3312000000000008</v>
      </c>
      <c r="R53" s="236">
        <f>+Q53*$R$10</f>
        <v>0</v>
      </c>
      <c r="S53" s="237">
        <f>+Q53+Q53*20%</f>
        <v>11.19744</v>
      </c>
      <c r="T53" s="236">
        <f>+S53*$T$10</f>
        <v>0</v>
      </c>
      <c r="U53" s="236">
        <f t="shared" si="54"/>
        <v>138.27600000000001</v>
      </c>
      <c r="V53" s="239">
        <f>+ROUND(U53,1)</f>
        <v>138.30000000000001</v>
      </c>
      <c r="W53" s="240">
        <f>+'A.P.U. 2024'!F398</f>
        <v>13776.351378338002</v>
      </c>
      <c r="X53" s="240">
        <f>+'A.P.U. 2024'!G398</f>
        <v>14654.18331111111</v>
      </c>
      <c r="Y53" s="241">
        <f t="shared" si="55"/>
        <v>1905269.3956241459</v>
      </c>
      <c r="Z53" s="242">
        <f t="shared" si="56"/>
        <v>2026673.5519266666</v>
      </c>
      <c r="AA53" s="212">
        <f>+'A.P.U. 2024'!G393</f>
        <v>5498</v>
      </c>
      <c r="AB53" s="209">
        <f t="shared" si="57"/>
        <v>760373.4</v>
      </c>
      <c r="AC53" s="646"/>
      <c r="AD53" s="209"/>
      <c r="AE53" s="210">
        <f>+'A.P.U. 2024'!G394</f>
        <v>1509.0333111111111</v>
      </c>
      <c r="AF53" s="209">
        <f t="shared" si="59"/>
        <v>208699.30692666667</v>
      </c>
      <c r="AG53" s="210">
        <f>+'A.P.U. 2024'!G395+'A.P.U. 2024'!G396</f>
        <v>7647.15</v>
      </c>
      <c r="AH53" s="210">
        <f t="shared" si="60"/>
        <v>1057600.845</v>
      </c>
      <c r="AI53" s="647">
        <f t="shared" si="10"/>
        <v>2026673.5519266666</v>
      </c>
      <c r="AJ53" s="228">
        <f>+'A.P.U. 2024'!L393</f>
        <v>121404.15630252089</v>
      </c>
      <c r="AK53" s="60"/>
      <c r="AL53" s="60"/>
      <c r="AM53" s="766"/>
      <c r="AN53" s="766"/>
      <c r="AO53" s="766"/>
      <c r="AP53" s="766"/>
      <c r="AQ53" s="766"/>
      <c r="AR53" s="766"/>
      <c r="AS53" s="766"/>
      <c r="AT53" s="766"/>
      <c r="AU53" s="766"/>
      <c r="AV53" s="766"/>
      <c r="AW53" s="766"/>
      <c r="AX53" s="766"/>
      <c r="AY53" s="766"/>
      <c r="AZ53" s="766"/>
      <c r="BA53" s="766"/>
      <c r="BB53" s="766"/>
      <c r="BC53" s="766"/>
      <c r="BD53" s="766"/>
      <c r="BE53" s="766"/>
      <c r="BF53" s="766"/>
      <c r="BG53" s="766"/>
      <c r="BH53" s="766"/>
      <c r="BI53" s="766"/>
      <c r="BJ53" s="766"/>
      <c r="BK53" s="766"/>
      <c r="BL53" s="766"/>
      <c r="BM53" s="766"/>
      <c r="BN53" s="766"/>
      <c r="BO53" s="766"/>
      <c r="BP53" s="766"/>
      <c r="BQ53" s="766"/>
      <c r="BR53" s="766"/>
      <c r="BS53" s="766"/>
      <c r="BT53" s="766"/>
      <c r="BU53" s="766"/>
      <c r="BV53" s="766"/>
      <c r="BW53" s="766"/>
      <c r="BX53" s="766"/>
      <c r="BY53" s="766"/>
      <c r="BZ53" s="766"/>
      <c r="CA53" s="766"/>
      <c r="CB53" s="766"/>
      <c r="CC53" s="766"/>
      <c r="CD53" s="766"/>
      <c r="CE53" s="766"/>
      <c r="CF53" s="766"/>
      <c r="CG53" s="766"/>
      <c r="CH53" s="766"/>
      <c r="CI53" s="766"/>
      <c r="CJ53" s="766"/>
      <c r="CK53" s="766"/>
      <c r="CL53" s="766"/>
      <c r="CM53" s="766"/>
      <c r="CN53" s="766"/>
      <c r="CO53" s="766"/>
      <c r="CP53" s="766"/>
      <c r="CQ53" s="766"/>
      <c r="CR53" s="766"/>
      <c r="CS53" s="766"/>
      <c r="CT53" s="766"/>
      <c r="CU53" s="766"/>
      <c r="CV53" s="766"/>
      <c r="CW53" s="766"/>
      <c r="CX53" s="766"/>
      <c r="CY53" s="766"/>
      <c r="CZ53" s="766"/>
      <c r="DA53" s="766"/>
      <c r="DB53" s="766"/>
      <c r="DC53" s="766"/>
      <c r="DD53" s="766"/>
      <c r="DE53" s="766"/>
      <c r="DF53" s="766"/>
      <c r="DG53" s="766"/>
      <c r="DH53" s="766"/>
      <c r="DI53" s="766"/>
      <c r="DJ53" s="766"/>
      <c r="DK53" s="766"/>
      <c r="DL53" s="766"/>
      <c r="DM53" s="766"/>
      <c r="DN53" s="766"/>
      <c r="DO53" s="766"/>
      <c r="DP53" s="766"/>
      <c r="DQ53" s="766"/>
      <c r="DR53" s="766"/>
      <c r="DS53" s="766"/>
      <c r="DT53" s="766"/>
      <c r="DU53" s="766"/>
      <c r="DV53" s="766"/>
      <c r="DW53" s="766"/>
      <c r="DX53" s="766"/>
      <c r="DY53" s="766"/>
      <c r="DZ53" s="766"/>
      <c r="EA53" s="766"/>
      <c r="EB53" s="766"/>
      <c r="EC53" s="766"/>
      <c r="ED53" s="766"/>
      <c r="EE53" s="766"/>
      <c r="EF53" s="766"/>
      <c r="EG53" s="766"/>
      <c r="EH53" s="766"/>
      <c r="EI53" s="766"/>
      <c r="EJ53" s="766"/>
      <c r="EK53" s="766"/>
      <c r="EL53" s="766"/>
      <c r="EM53" s="766"/>
      <c r="EN53" s="766"/>
    </row>
    <row r="54" spans="1:144" s="243" customFormat="1" ht="48" customHeight="1">
      <c r="A54" s="231" t="e">
        <f t="shared" si="53"/>
        <v>#REF!</v>
      </c>
      <c r="B54" s="232" t="s">
        <v>289</v>
      </c>
      <c r="C54" s="233" t="s">
        <v>315</v>
      </c>
      <c r="D54" s="234" t="s">
        <v>100</v>
      </c>
      <c r="E54" s="235">
        <v>27</v>
      </c>
      <c r="F54" s="236">
        <f>+E54*$F$10</f>
        <v>783</v>
      </c>
      <c r="G54" s="237">
        <v>27</v>
      </c>
      <c r="H54" s="236">
        <f>+G54*$H$10</f>
        <v>0</v>
      </c>
      <c r="I54" s="237">
        <v>27</v>
      </c>
      <c r="J54" s="236">
        <f>+I54*$J$10</f>
        <v>0</v>
      </c>
      <c r="K54" s="237">
        <f>16*3</f>
        <v>48</v>
      </c>
      <c r="L54" s="236">
        <f>+K54*$L$10</f>
        <v>0</v>
      </c>
      <c r="M54" s="237">
        <f>25*3</f>
        <v>75</v>
      </c>
      <c r="N54" s="236">
        <f>+M54*$N$10</f>
        <v>0</v>
      </c>
      <c r="O54" s="237">
        <f>36*3</f>
        <v>108</v>
      </c>
      <c r="P54" s="238">
        <f>+O54*$P$10</f>
        <v>108</v>
      </c>
      <c r="Q54" s="237">
        <f>49*3</f>
        <v>147</v>
      </c>
      <c r="R54" s="236">
        <f>+Q54*$R$10</f>
        <v>0</v>
      </c>
      <c r="S54" s="237">
        <f>64*3</f>
        <v>192</v>
      </c>
      <c r="T54" s="236">
        <f>+S54*$T$10</f>
        <v>0</v>
      </c>
      <c r="U54" s="236">
        <f t="shared" si="54"/>
        <v>891</v>
      </c>
      <c r="V54" s="239">
        <f>+ROUND(U54,1)</f>
        <v>891</v>
      </c>
      <c r="W54" s="240">
        <f>+'A.P.U. 2024'!F406</f>
        <v>13883.034062002744</v>
      </c>
      <c r="X54" s="240">
        <f>+'A.P.U. 2024'!G406</f>
        <v>15896.233934002743</v>
      </c>
      <c r="Y54" s="241">
        <f t="shared" si="55"/>
        <v>12369783.349244444</v>
      </c>
      <c r="Z54" s="242">
        <f t="shared" si="56"/>
        <v>14163544.435196444</v>
      </c>
      <c r="AA54" s="212">
        <f>+'A.P.U. 2024'!G401</f>
        <v>12608.988671999999</v>
      </c>
      <c r="AB54" s="209">
        <f t="shared" si="57"/>
        <v>11234608.906752</v>
      </c>
      <c r="AC54" s="646"/>
      <c r="AD54" s="209"/>
      <c r="AE54" s="210">
        <f>+'A.P.U. 2024'!G402</f>
        <v>372.60081755829901</v>
      </c>
      <c r="AF54" s="209">
        <f t="shared" si="59"/>
        <v>331987.3284444444</v>
      </c>
      <c r="AG54" s="210">
        <f>+'A.P.U. 2024'!G403+'A.P.U. 2024'!G404</f>
        <v>2914.6444444444442</v>
      </c>
      <c r="AH54" s="210">
        <f t="shared" si="60"/>
        <v>2596948.1999999997</v>
      </c>
      <c r="AI54" s="647">
        <f t="shared" si="10"/>
        <v>14163544.435196443</v>
      </c>
      <c r="AJ54" s="228">
        <f>'A.P.U. 2024'!L403</f>
        <v>1793761.0859519988</v>
      </c>
      <c r="AK54" s="60"/>
      <c r="AL54" s="60"/>
      <c r="AM54" s="766"/>
      <c r="AN54" s="766"/>
      <c r="AO54" s="766"/>
      <c r="AP54" s="766"/>
      <c r="AQ54" s="766"/>
      <c r="AR54" s="766"/>
      <c r="AS54" s="766"/>
      <c r="AT54" s="766"/>
      <c r="AU54" s="766"/>
      <c r="AV54" s="766"/>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6"/>
      <c r="CM54" s="766"/>
      <c r="CN54" s="766"/>
      <c r="CO54" s="766"/>
      <c r="CP54" s="766"/>
      <c r="CQ54" s="766"/>
      <c r="CR54" s="766"/>
      <c r="CS54" s="766"/>
      <c r="CT54" s="766"/>
      <c r="CU54" s="766"/>
      <c r="CV54" s="766"/>
      <c r="CW54" s="766"/>
      <c r="CX54" s="766"/>
      <c r="CY54" s="766"/>
      <c r="CZ54" s="766"/>
      <c r="DA54" s="766"/>
      <c r="DB54" s="766"/>
      <c r="DC54" s="766"/>
      <c r="DD54" s="766"/>
      <c r="DE54" s="766"/>
      <c r="DF54" s="766"/>
      <c r="DG54" s="766"/>
      <c r="DH54" s="766"/>
      <c r="DI54" s="766"/>
      <c r="DJ54" s="766"/>
      <c r="DK54" s="766"/>
      <c r="DL54" s="766"/>
      <c r="DM54" s="766"/>
      <c r="DN54" s="766"/>
      <c r="DO54" s="766"/>
      <c r="DP54" s="766"/>
      <c r="DQ54" s="766"/>
      <c r="DR54" s="766"/>
      <c r="DS54" s="766"/>
      <c r="DT54" s="766"/>
      <c r="DU54" s="766"/>
      <c r="DV54" s="766"/>
      <c r="DW54" s="766"/>
      <c r="DX54" s="766"/>
      <c r="DY54" s="766"/>
      <c r="DZ54" s="766"/>
      <c r="EA54" s="766"/>
      <c r="EB54" s="766"/>
      <c r="EC54" s="766"/>
      <c r="ED54" s="766"/>
      <c r="EE54" s="766"/>
      <c r="EF54" s="766"/>
      <c r="EG54" s="766"/>
      <c r="EH54" s="766"/>
      <c r="EI54" s="766"/>
      <c r="EJ54" s="766"/>
      <c r="EK54" s="766"/>
      <c r="EL54" s="766"/>
      <c r="EM54" s="766"/>
      <c r="EN54" s="766"/>
    </row>
    <row r="55" spans="1:144" s="243" customFormat="1" ht="48" customHeight="1">
      <c r="A55" s="231" t="e">
        <f t="shared" si="53"/>
        <v>#REF!</v>
      </c>
      <c r="B55" s="232" t="s">
        <v>289</v>
      </c>
      <c r="C55" s="233" t="s">
        <v>316</v>
      </c>
      <c r="D55" s="234" t="s">
        <v>97</v>
      </c>
      <c r="E55" s="235">
        <v>3</v>
      </c>
      <c r="F55" s="236">
        <f>+E55*$F$10</f>
        <v>87</v>
      </c>
      <c r="G55" s="237">
        <v>3.2</v>
      </c>
      <c r="H55" s="236">
        <f>+G55*$H$10</f>
        <v>0</v>
      </c>
      <c r="I55" s="237">
        <v>3.4</v>
      </c>
      <c r="J55" s="236">
        <f>+I55*$J$10</f>
        <v>0</v>
      </c>
      <c r="K55" s="237">
        <v>3.6</v>
      </c>
      <c r="L55" s="236">
        <f>+K55*$L$10</f>
        <v>0</v>
      </c>
      <c r="M55" s="237">
        <v>3.8</v>
      </c>
      <c r="N55" s="236">
        <f>+M55*$N$10</f>
        <v>0</v>
      </c>
      <c r="O55" s="237">
        <v>4</v>
      </c>
      <c r="P55" s="238">
        <f>+O55*$P$10</f>
        <v>4</v>
      </c>
      <c r="Q55" s="237">
        <v>4.2</v>
      </c>
      <c r="R55" s="236">
        <f>+Q55*$R$10</f>
        <v>0</v>
      </c>
      <c r="S55" s="237">
        <v>4.2</v>
      </c>
      <c r="T55" s="236">
        <f>+S55*$T$10</f>
        <v>0</v>
      </c>
      <c r="U55" s="236">
        <f t="shared" si="54"/>
        <v>91</v>
      </c>
      <c r="V55" s="239">
        <f>+ROUND(U55,1)</f>
        <v>91</v>
      </c>
      <c r="W55" s="240">
        <f>+'A.P.U. 2024'!F417</f>
        <v>103990.7460528474</v>
      </c>
      <c r="X55" s="240">
        <f>+'A.P.U. 2024'!G417</f>
        <v>122077.18880306637</v>
      </c>
      <c r="Y55" s="241">
        <f t="shared" si="55"/>
        <v>9463157.8908091132</v>
      </c>
      <c r="Z55" s="242">
        <f t="shared" si="56"/>
        <v>11109024.181079039</v>
      </c>
      <c r="AA55" s="212">
        <f>+'A.P.U. 2024'!G409</f>
        <v>17356.643759615999</v>
      </c>
      <c r="AB55" s="213">
        <f>+AA55*V55</f>
        <v>1579454.5821250558</v>
      </c>
      <c r="AC55" s="212">
        <f>+'A.P.U. 2024'!G412+'A.P.U. 2024'!G413+'A.P.U. 2024'!G414</f>
        <v>95921.602939123812</v>
      </c>
      <c r="AD55" s="211">
        <f t="shared" si="58"/>
        <v>8728865.8674602676</v>
      </c>
      <c r="AE55" s="210">
        <f>+'A.P.U. 2024'!G410</f>
        <v>302.10877099321539</v>
      </c>
      <c r="AF55" s="209">
        <f t="shared" si="59"/>
        <v>27491.8981603826</v>
      </c>
      <c r="AG55" s="210">
        <f>+'A.P.U. 2024'!G411+'A.P.U. 2024'!G415</f>
        <v>8496.8333333333321</v>
      </c>
      <c r="AH55" s="210">
        <f t="shared" si="60"/>
        <v>773211.83333333326</v>
      </c>
      <c r="AI55" s="647">
        <f t="shared" si="10"/>
        <v>11109024.181079041</v>
      </c>
      <c r="AJ55" s="228">
        <f>+'A.P.U. 2024'!L409</f>
        <v>1645866.2902699262</v>
      </c>
      <c r="AK55" s="60"/>
      <c r="AL55" s="60"/>
      <c r="AM55" s="766"/>
      <c r="AN55" s="766"/>
      <c r="AO55" s="766"/>
      <c r="AP55" s="766"/>
      <c r="AQ55" s="766"/>
      <c r="AR55" s="766"/>
      <c r="AS55" s="766"/>
      <c r="AT55" s="766"/>
      <c r="AU55" s="766"/>
      <c r="AV55" s="766"/>
      <c r="AW55" s="766"/>
      <c r="AX55" s="766"/>
      <c r="AY55" s="766"/>
      <c r="AZ55" s="766"/>
      <c r="BA55" s="766"/>
      <c r="BB55" s="766"/>
      <c r="BC55" s="766"/>
      <c r="BD55" s="766"/>
      <c r="BE55" s="766"/>
      <c r="BF55" s="766"/>
      <c r="BG55" s="766"/>
      <c r="BH55" s="766"/>
      <c r="BI55" s="766"/>
      <c r="BJ55" s="766"/>
      <c r="BK55" s="766"/>
      <c r="BL55" s="766"/>
      <c r="BM55" s="766"/>
      <c r="BN55" s="766"/>
      <c r="BO55" s="766"/>
      <c r="BP55" s="766"/>
      <c r="BQ55" s="766"/>
      <c r="BR55" s="766"/>
      <c r="BS55" s="766"/>
      <c r="BT55" s="766"/>
      <c r="BU55" s="766"/>
      <c r="BV55" s="766"/>
      <c r="BW55" s="766"/>
      <c r="BX55" s="766"/>
      <c r="BY55" s="766"/>
      <c r="BZ55" s="766"/>
      <c r="CA55" s="766"/>
      <c r="CB55" s="766"/>
      <c r="CC55" s="766"/>
      <c r="CD55" s="766"/>
      <c r="CE55" s="766"/>
      <c r="CF55" s="766"/>
      <c r="CG55" s="766"/>
      <c r="CH55" s="766"/>
      <c r="CI55" s="766"/>
      <c r="CJ55" s="766"/>
      <c r="CK55" s="766"/>
      <c r="CL55" s="766"/>
      <c r="CM55" s="766"/>
      <c r="CN55" s="766"/>
      <c r="CO55" s="766"/>
      <c r="CP55" s="766"/>
      <c r="CQ55" s="766"/>
      <c r="CR55" s="766"/>
      <c r="CS55" s="766"/>
      <c r="CT55" s="766"/>
      <c r="CU55" s="766"/>
      <c r="CV55" s="766"/>
      <c r="CW55" s="766"/>
      <c r="CX55" s="766"/>
      <c r="CY55" s="766"/>
      <c r="CZ55" s="766"/>
      <c r="DA55" s="766"/>
      <c r="DB55" s="766"/>
      <c r="DC55" s="766"/>
      <c r="DD55" s="766"/>
      <c r="DE55" s="766"/>
      <c r="DF55" s="766"/>
      <c r="DG55" s="766"/>
      <c r="DH55" s="766"/>
      <c r="DI55" s="766"/>
      <c r="DJ55" s="766"/>
      <c r="DK55" s="766"/>
      <c r="DL55" s="766"/>
      <c r="DM55" s="766"/>
      <c r="DN55" s="766"/>
      <c r="DO55" s="766"/>
      <c r="DP55" s="766"/>
      <c r="DQ55" s="766"/>
      <c r="DR55" s="766"/>
      <c r="DS55" s="766"/>
      <c r="DT55" s="766"/>
      <c r="DU55" s="766"/>
      <c r="DV55" s="766"/>
      <c r="DW55" s="766"/>
      <c r="DX55" s="766"/>
      <c r="DY55" s="766"/>
      <c r="DZ55" s="766"/>
      <c r="EA55" s="766"/>
      <c r="EB55" s="766"/>
      <c r="EC55" s="766"/>
      <c r="ED55" s="766"/>
      <c r="EE55" s="766"/>
      <c r="EF55" s="766"/>
      <c r="EG55" s="766"/>
      <c r="EH55" s="766"/>
      <c r="EI55" s="766"/>
      <c r="EJ55" s="766"/>
      <c r="EK55" s="766"/>
      <c r="EL55" s="766"/>
      <c r="EM55" s="766"/>
      <c r="EN55" s="766"/>
    </row>
    <row r="56" spans="1:144" s="243" customFormat="1" ht="48" customHeight="1">
      <c r="A56" s="231" t="e">
        <f t="shared" si="53"/>
        <v>#REF!</v>
      </c>
      <c r="B56" s="232" t="s">
        <v>289</v>
      </c>
      <c r="C56" s="233" t="s">
        <v>853</v>
      </c>
      <c r="D56" s="234" t="s">
        <v>133</v>
      </c>
      <c r="E56" s="235">
        <v>1</v>
      </c>
      <c r="F56" s="236">
        <v>1</v>
      </c>
      <c r="G56" s="235"/>
      <c r="H56" s="236"/>
      <c r="I56" s="235"/>
      <c r="J56" s="236"/>
      <c r="K56" s="235"/>
      <c r="L56" s="236"/>
      <c r="M56" s="235"/>
      <c r="N56" s="236"/>
      <c r="O56" s="235"/>
      <c r="P56" s="236"/>
      <c r="Q56" s="235"/>
      <c r="R56" s="236"/>
      <c r="S56" s="235"/>
      <c r="T56" s="236"/>
      <c r="U56" s="236">
        <f t="shared" si="54"/>
        <v>1</v>
      </c>
      <c r="V56" s="239">
        <f>+ROUND(U56,1)</f>
        <v>1</v>
      </c>
      <c r="W56" s="240">
        <f>+'A.P.U. 2024'!F425</f>
        <v>185775.57674484944</v>
      </c>
      <c r="X56" s="240">
        <f>+'A.P.U. 2024'!G425</f>
        <v>220461.75321543767</v>
      </c>
      <c r="Y56" s="241">
        <f t="shared" si="55"/>
        <v>185775.57674484944</v>
      </c>
      <c r="Z56" s="242">
        <f t="shared" si="56"/>
        <v>220461.75321543767</v>
      </c>
      <c r="AA56" s="212">
        <f>+'A.P.U. 2024'!G420</f>
        <v>217245</v>
      </c>
      <c r="AB56" s="213">
        <f t="shared" si="57"/>
        <v>217245</v>
      </c>
      <c r="AC56" s="212"/>
      <c r="AD56" s="211">
        <f t="shared" si="58"/>
        <v>0</v>
      </c>
      <c r="AE56" s="210">
        <f>+'A.P.U. 2024'!G421</f>
        <v>302.10877099321539</v>
      </c>
      <c r="AF56" s="209">
        <f t="shared" si="59"/>
        <v>302.10877099321539</v>
      </c>
      <c r="AG56" s="210">
        <f>+'A.P.U. 2024'!G423+'A.P.U. 2024'!G422</f>
        <v>2914.6444444444442</v>
      </c>
      <c r="AH56" s="210">
        <f t="shared" si="60"/>
        <v>2914.6444444444442</v>
      </c>
      <c r="AI56" s="647">
        <f t="shared" si="10"/>
        <v>220461.75321543767</v>
      </c>
      <c r="AJ56" s="228">
        <f>'A.P.U. 2024'!L422</f>
        <v>34686.176470588223</v>
      </c>
      <c r="AK56" s="60"/>
      <c r="AL56" s="60"/>
      <c r="AM56" s="766"/>
      <c r="AN56" s="766"/>
      <c r="AO56" s="766"/>
      <c r="AP56" s="766"/>
      <c r="AQ56" s="766"/>
      <c r="AR56" s="766"/>
      <c r="AS56" s="766"/>
      <c r="AT56" s="766"/>
      <c r="AU56" s="766"/>
      <c r="AV56" s="766"/>
      <c r="AW56" s="766"/>
      <c r="AX56" s="766"/>
      <c r="AY56" s="766"/>
      <c r="AZ56" s="766"/>
      <c r="BA56" s="766"/>
      <c r="BB56" s="766"/>
      <c r="BC56" s="766"/>
      <c r="BD56" s="766"/>
      <c r="BE56" s="766"/>
      <c r="BF56" s="766"/>
      <c r="BG56" s="766"/>
      <c r="BH56" s="766"/>
      <c r="BI56" s="766"/>
      <c r="BJ56" s="766"/>
      <c r="BK56" s="766"/>
      <c r="BL56" s="766"/>
      <c r="BM56" s="766"/>
      <c r="BN56" s="766"/>
      <c r="BO56" s="766"/>
      <c r="BP56" s="766"/>
      <c r="BQ56" s="766"/>
      <c r="BR56" s="766"/>
      <c r="BS56" s="766"/>
      <c r="BT56" s="766"/>
      <c r="BU56" s="766"/>
      <c r="BV56" s="766"/>
      <c r="BW56" s="766"/>
      <c r="BX56" s="766"/>
      <c r="BY56" s="766"/>
      <c r="BZ56" s="766"/>
      <c r="CA56" s="766"/>
      <c r="CB56" s="766"/>
      <c r="CC56" s="766"/>
      <c r="CD56" s="766"/>
      <c r="CE56" s="766"/>
      <c r="CF56" s="766"/>
      <c r="CG56" s="766"/>
      <c r="CH56" s="766"/>
      <c r="CI56" s="766"/>
      <c r="CJ56" s="766"/>
      <c r="CK56" s="766"/>
      <c r="CL56" s="766"/>
      <c r="CM56" s="766"/>
      <c r="CN56" s="766"/>
      <c r="CO56" s="766"/>
      <c r="CP56" s="766"/>
      <c r="CQ56" s="766"/>
      <c r="CR56" s="766"/>
      <c r="CS56" s="766"/>
      <c r="CT56" s="766"/>
      <c r="CU56" s="766"/>
      <c r="CV56" s="766"/>
      <c r="CW56" s="766"/>
      <c r="CX56" s="766"/>
      <c r="CY56" s="766"/>
      <c r="CZ56" s="766"/>
      <c r="DA56" s="766"/>
      <c r="DB56" s="766"/>
      <c r="DC56" s="766"/>
      <c r="DD56" s="766"/>
      <c r="DE56" s="766"/>
      <c r="DF56" s="766"/>
      <c r="DG56" s="766"/>
      <c r="DH56" s="766"/>
      <c r="DI56" s="766"/>
      <c r="DJ56" s="766"/>
      <c r="DK56" s="766"/>
      <c r="DL56" s="766"/>
      <c r="DM56" s="766"/>
      <c r="DN56" s="766"/>
      <c r="DO56" s="766"/>
      <c r="DP56" s="766"/>
      <c r="DQ56" s="766"/>
      <c r="DR56" s="766"/>
      <c r="DS56" s="766"/>
      <c r="DT56" s="766"/>
      <c r="DU56" s="766"/>
      <c r="DV56" s="766"/>
      <c r="DW56" s="766"/>
      <c r="DX56" s="766"/>
      <c r="DY56" s="766"/>
      <c r="DZ56" s="766"/>
      <c r="EA56" s="766"/>
      <c r="EB56" s="766"/>
      <c r="EC56" s="766"/>
      <c r="ED56" s="766"/>
      <c r="EE56" s="766"/>
      <c r="EF56" s="766"/>
      <c r="EG56" s="766"/>
      <c r="EH56" s="766"/>
      <c r="EI56" s="766"/>
      <c r="EJ56" s="766"/>
      <c r="EK56" s="766"/>
      <c r="EL56" s="766"/>
      <c r="EM56" s="766"/>
      <c r="EN56" s="766"/>
    </row>
    <row r="57" spans="1:144" s="243" customFormat="1" ht="48" customHeight="1">
      <c r="A57" s="939"/>
      <c r="B57" s="940"/>
      <c r="C57" s="958" t="s">
        <v>852</v>
      </c>
      <c r="D57" s="966"/>
      <c r="E57" s="967"/>
      <c r="F57" s="135"/>
      <c r="G57" s="959"/>
      <c r="H57" s="960"/>
      <c r="I57" s="959"/>
      <c r="J57" s="960"/>
      <c r="K57" s="959"/>
      <c r="L57" s="960"/>
      <c r="M57" s="959"/>
      <c r="N57" s="960"/>
      <c r="O57" s="959"/>
      <c r="P57" s="960"/>
      <c r="Q57" s="959"/>
      <c r="R57" s="960"/>
      <c r="S57" s="959"/>
      <c r="T57" s="960"/>
      <c r="U57" s="135"/>
      <c r="V57" s="113"/>
      <c r="W57" s="961"/>
      <c r="X57" s="962"/>
      <c r="Y57" s="133"/>
      <c r="Z57" s="130"/>
      <c r="AA57" s="963"/>
      <c r="AB57" s="964"/>
      <c r="AC57" s="964"/>
      <c r="AD57" s="139"/>
      <c r="AE57" s="965"/>
      <c r="AF57" s="141"/>
      <c r="AG57" s="963"/>
      <c r="AH57" s="140"/>
      <c r="AI57" s="647"/>
      <c r="AJ57" s="228"/>
      <c r="AK57" s="60"/>
      <c r="AL57" s="60"/>
      <c r="AM57" s="766"/>
      <c r="AN57" s="766"/>
      <c r="AO57" s="766"/>
      <c r="AP57" s="766"/>
      <c r="AQ57" s="766"/>
      <c r="AR57" s="766"/>
      <c r="AS57" s="766"/>
      <c r="AT57" s="766"/>
      <c r="AU57" s="766"/>
      <c r="AV57" s="766"/>
      <c r="AW57" s="766"/>
      <c r="AX57" s="766"/>
      <c r="AY57" s="766"/>
      <c r="AZ57" s="766"/>
      <c r="BA57" s="766"/>
      <c r="BB57" s="766"/>
      <c r="BC57" s="766"/>
      <c r="BD57" s="766"/>
      <c r="BE57" s="766"/>
      <c r="BF57" s="766"/>
      <c r="BG57" s="766"/>
      <c r="BH57" s="766"/>
      <c r="BI57" s="766"/>
      <c r="BJ57" s="766"/>
      <c r="BK57" s="766"/>
      <c r="BL57" s="766"/>
      <c r="BM57" s="766"/>
      <c r="BN57" s="766"/>
      <c r="BO57" s="766"/>
      <c r="BP57" s="766"/>
      <c r="BQ57" s="766"/>
      <c r="BR57" s="766"/>
      <c r="BS57" s="766"/>
      <c r="BT57" s="766"/>
      <c r="BU57" s="766"/>
      <c r="BV57" s="766"/>
      <c r="BW57" s="766"/>
      <c r="BX57" s="766"/>
      <c r="BY57" s="766"/>
      <c r="BZ57" s="766"/>
      <c r="CA57" s="766"/>
      <c r="CB57" s="766"/>
      <c r="CC57" s="766"/>
      <c r="CD57" s="766"/>
      <c r="CE57" s="766"/>
      <c r="CF57" s="766"/>
      <c r="CG57" s="766"/>
      <c r="CH57" s="766"/>
      <c r="CI57" s="766"/>
      <c r="CJ57" s="766"/>
      <c r="CK57" s="766"/>
      <c r="CL57" s="766"/>
      <c r="CM57" s="766"/>
      <c r="CN57" s="766"/>
      <c r="CO57" s="766"/>
      <c r="CP57" s="766"/>
      <c r="CQ57" s="766"/>
      <c r="CR57" s="766"/>
      <c r="CS57" s="766"/>
      <c r="CT57" s="766"/>
      <c r="CU57" s="766"/>
      <c r="CV57" s="766"/>
      <c r="CW57" s="766"/>
      <c r="CX57" s="766"/>
      <c r="CY57" s="766"/>
      <c r="CZ57" s="766"/>
      <c r="DA57" s="766"/>
      <c r="DB57" s="766"/>
      <c r="DC57" s="766"/>
      <c r="DD57" s="766"/>
      <c r="DE57" s="766"/>
      <c r="DF57" s="766"/>
      <c r="DG57" s="766"/>
      <c r="DH57" s="766"/>
      <c r="DI57" s="766"/>
      <c r="DJ57" s="766"/>
      <c r="DK57" s="766"/>
      <c r="DL57" s="766"/>
      <c r="DM57" s="766"/>
      <c r="DN57" s="766"/>
      <c r="DO57" s="766"/>
      <c r="DP57" s="766"/>
      <c r="DQ57" s="766"/>
      <c r="DR57" s="766"/>
      <c r="DS57" s="766"/>
      <c r="DT57" s="766"/>
      <c r="DU57" s="766"/>
      <c r="DV57" s="766"/>
      <c r="DW57" s="766"/>
      <c r="DX57" s="766"/>
      <c r="DY57" s="766"/>
      <c r="DZ57" s="766"/>
      <c r="EA57" s="766"/>
      <c r="EB57" s="766"/>
      <c r="EC57" s="766"/>
      <c r="ED57" s="766"/>
      <c r="EE57" s="766"/>
      <c r="EF57" s="766"/>
      <c r="EG57" s="766"/>
      <c r="EH57" s="766"/>
      <c r="EI57" s="766"/>
      <c r="EJ57" s="766"/>
      <c r="EK57" s="766"/>
      <c r="EL57" s="766"/>
      <c r="EM57" s="766"/>
      <c r="EN57" s="766"/>
    </row>
    <row r="58" spans="1:144" s="243" customFormat="1" ht="48" customHeight="1">
      <c r="A58" s="939"/>
      <c r="B58" s="940"/>
      <c r="C58" s="941" t="s">
        <v>856</v>
      </c>
      <c r="D58" s="968" t="s">
        <v>100</v>
      </c>
      <c r="E58" s="969"/>
      <c r="F58" s="951"/>
      <c r="G58" s="950">
        <v>1</v>
      </c>
      <c r="H58" s="943">
        <f>+G58*$H$8</f>
        <v>0</v>
      </c>
      <c r="I58" s="950">
        <v>1</v>
      </c>
      <c r="J58" s="943">
        <f>+I58*$J$8</f>
        <v>0</v>
      </c>
      <c r="K58" s="942">
        <v>1</v>
      </c>
      <c r="L58" s="943">
        <f>+K58*$L$8</f>
        <v>0</v>
      </c>
      <c r="M58" s="942">
        <v>1</v>
      </c>
      <c r="N58" s="943">
        <f>+M58*$N$8</f>
        <v>0</v>
      </c>
      <c r="O58" s="942">
        <v>1</v>
      </c>
      <c r="P58" s="943">
        <f>+O58*$P$8</f>
        <v>1</v>
      </c>
      <c r="Q58" s="942">
        <v>1</v>
      </c>
      <c r="R58" s="943">
        <f>+Q58*$R$8</f>
        <v>0</v>
      </c>
      <c r="S58" s="942">
        <v>1</v>
      </c>
      <c r="T58" s="943">
        <f>+S58*$T$8</f>
        <v>0</v>
      </c>
      <c r="U58" s="951">
        <f t="shared" si="54"/>
        <v>1</v>
      </c>
      <c r="V58" s="952">
        <f>+ROUND(U58,1)</f>
        <v>1</v>
      </c>
      <c r="W58" s="944">
        <f>+'A.P.U. 2024'!F443</f>
        <v>381118.70670347341</v>
      </c>
      <c r="X58" s="945">
        <f>+'A.P.U. 2024'!G443</f>
        <v>435300.38794935559</v>
      </c>
      <c r="Y58" s="953">
        <f t="shared" si="55"/>
        <v>381118.70670347341</v>
      </c>
      <c r="Z58" s="954">
        <f t="shared" si="56"/>
        <v>435300.38794935559</v>
      </c>
      <c r="AA58" s="946">
        <f>+'A.P.U. 2024'!G429+'A.P.U. 2024'!G430+'A.P.U. 2024'!G431+'A.P.U. 2024'!G432+'A.P.U. 2024'!G433+'A.P.U. 2024'!G434+'A.P.U. 2024'!G436+'A.P.U. 2024'!G437</f>
        <v>134671.65339379999</v>
      </c>
      <c r="AB58" s="955">
        <f t="shared" si="57"/>
        <v>134671.65339379999</v>
      </c>
      <c r="AC58" s="947">
        <f>+'A.P.U. 2024'!G428+'A.P.U. 2024'!G435</f>
        <v>15650.493333333332</v>
      </c>
      <c r="AD58" s="956">
        <f t="shared" si="58"/>
        <v>15650.493333333332</v>
      </c>
      <c r="AE58" s="948">
        <f>+'A.P.U. 2024'!G441</f>
        <v>30180.666222222222</v>
      </c>
      <c r="AF58" s="949">
        <f t="shared" si="59"/>
        <v>30180.666222222222</v>
      </c>
      <c r="AG58" s="946">
        <f>+'A.P.U. 2024'!G438+'A.P.U. 2024'!G440+'A.P.U. 2024'!G439</f>
        <v>254797.57500000001</v>
      </c>
      <c r="AH58" s="957">
        <f t="shared" si="60"/>
        <v>254797.57500000001</v>
      </c>
      <c r="AI58" s="647">
        <f t="shared" si="10"/>
        <v>435300.38794935553</v>
      </c>
      <c r="AJ58" s="228">
        <f>+'A.P.U. 2024'!L428</f>
        <v>24001.015023659973</v>
      </c>
      <c r="AK58" s="60"/>
      <c r="AL58" s="60"/>
      <c r="AM58" s="766"/>
      <c r="AN58" s="766"/>
      <c r="AO58" s="766"/>
      <c r="AP58" s="766"/>
      <c r="AQ58" s="766"/>
      <c r="AR58" s="766"/>
      <c r="AS58" s="766"/>
      <c r="AT58" s="766"/>
      <c r="AU58" s="766"/>
      <c r="AV58" s="766"/>
      <c r="AW58" s="766"/>
      <c r="AX58" s="766"/>
      <c r="AY58" s="766"/>
      <c r="AZ58" s="766"/>
      <c r="BA58" s="766"/>
      <c r="BB58" s="766"/>
      <c r="BC58" s="766"/>
      <c r="BD58" s="766"/>
      <c r="BE58" s="766"/>
      <c r="BF58" s="766"/>
      <c r="BG58" s="766"/>
      <c r="BH58" s="766"/>
      <c r="BI58" s="766"/>
      <c r="BJ58" s="766"/>
      <c r="BK58" s="766"/>
      <c r="BL58" s="766"/>
      <c r="BM58" s="766"/>
      <c r="BN58" s="766"/>
      <c r="BO58" s="766"/>
      <c r="BP58" s="766"/>
      <c r="BQ58" s="766"/>
      <c r="BR58" s="766"/>
      <c r="BS58" s="766"/>
      <c r="BT58" s="766"/>
      <c r="BU58" s="766"/>
      <c r="BV58" s="766"/>
      <c r="BW58" s="766"/>
      <c r="BX58" s="766"/>
      <c r="BY58" s="766"/>
      <c r="BZ58" s="766"/>
      <c r="CA58" s="766"/>
      <c r="CB58" s="766"/>
      <c r="CC58" s="766"/>
      <c r="CD58" s="766"/>
      <c r="CE58" s="766"/>
      <c r="CF58" s="766"/>
      <c r="CG58" s="766"/>
      <c r="CH58" s="766"/>
      <c r="CI58" s="766"/>
      <c r="CJ58" s="766"/>
      <c r="CK58" s="766"/>
      <c r="CL58" s="766"/>
      <c r="CM58" s="766"/>
      <c r="CN58" s="766"/>
      <c r="CO58" s="766"/>
      <c r="CP58" s="766"/>
      <c r="CQ58" s="766"/>
      <c r="CR58" s="766"/>
      <c r="CS58" s="766"/>
      <c r="CT58" s="766"/>
      <c r="CU58" s="766"/>
      <c r="CV58" s="766"/>
      <c r="CW58" s="766"/>
      <c r="CX58" s="766"/>
      <c r="CY58" s="766"/>
      <c r="CZ58" s="766"/>
      <c r="DA58" s="766"/>
      <c r="DB58" s="766"/>
      <c r="DC58" s="766"/>
      <c r="DD58" s="766"/>
      <c r="DE58" s="766"/>
      <c r="DF58" s="766"/>
      <c r="DG58" s="766"/>
      <c r="DH58" s="766"/>
      <c r="DI58" s="766"/>
      <c r="DJ58" s="766"/>
      <c r="DK58" s="766"/>
      <c r="DL58" s="766"/>
      <c r="DM58" s="766"/>
      <c r="DN58" s="766"/>
      <c r="DO58" s="766"/>
      <c r="DP58" s="766"/>
      <c r="DQ58" s="766"/>
      <c r="DR58" s="766"/>
      <c r="DS58" s="766"/>
      <c r="DT58" s="766"/>
      <c r="DU58" s="766"/>
      <c r="DV58" s="766"/>
      <c r="DW58" s="766"/>
      <c r="DX58" s="766"/>
      <c r="DY58" s="766"/>
      <c r="DZ58" s="766"/>
      <c r="EA58" s="766"/>
      <c r="EB58" s="766"/>
      <c r="EC58" s="766"/>
      <c r="ED58" s="766"/>
      <c r="EE58" s="766"/>
      <c r="EF58" s="766"/>
      <c r="EG58" s="766"/>
      <c r="EH58" s="766"/>
      <c r="EI58" s="766"/>
      <c r="EJ58" s="766"/>
      <c r="EK58" s="766"/>
      <c r="EL58" s="766"/>
      <c r="EM58" s="766"/>
      <c r="EN58" s="766"/>
    </row>
    <row r="59" spans="1:144" s="243" customFormat="1" ht="48" customHeight="1">
      <c r="A59" s="939"/>
      <c r="B59" s="940"/>
      <c r="C59" s="941" t="s">
        <v>310</v>
      </c>
      <c r="D59" s="968" t="s">
        <v>311</v>
      </c>
      <c r="E59" s="969"/>
      <c r="F59" s="951"/>
      <c r="G59" s="942">
        <v>0.252</v>
      </c>
      <c r="H59" s="943">
        <f>+G59*$H$8</f>
        <v>0</v>
      </c>
      <c r="I59" s="942">
        <v>0.252</v>
      </c>
      <c r="J59" s="943">
        <f>+I59*$J$8</f>
        <v>0</v>
      </c>
      <c r="K59" s="942">
        <v>0.252</v>
      </c>
      <c r="L59" s="943">
        <f>+K59*$L$8</f>
        <v>0</v>
      </c>
      <c r="M59" s="942">
        <v>0.252</v>
      </c>
      <c r="N59" s="943">
        <f>+M59*$N$8</f>
        <v>0</v>
      </c>
      <c r="O59" s="942">
        <v>0.252</v>
      </c>
      <c r="P59" s="943">
        <f>+O59*$P$8</f>
        <v>0.252</v>
      </c>
      <c r="Q59" s="942">
        <v>0.252</v>
      </c>
      <c r="R59" s="943">
        <f>+Q59*$R$8</f>
        <v>0</v>
      </c>
      <c r="S59" s="942">
        <v>0.252</v>
      </c>
      <c r="T59" s="943">
        <f>+S59*$T$8</f>
        <v>0</v>
      </c>
      <c r="U59" s="971">
        <f t="shared" si="54"/>
        <v>0.252</v>
      </c>
      <c r="V59" s="970">
        <f>+ROUND(U59,1)</f>
        <v>0.3</v>
      </c>
      <c r="W59" s="944">
        <f>+'A.P.U. 2024'!F9</f>
        <v>39347.699999999997</v>
      </c>
      <c r="X59" s="945">
        <f>+'A.P.U. 2024'!G9</f>
        <v>39347.699999999997</v>
      </c>
      <c r="Y59" s="953">
        <f t="shared" si="55"/>
        <v>11804.31</v>
      </c>
      <c r="Z59" s="954">
        <f t="shared" si="56"/>
        <v>11804.31</v>
      </c>
      <c r="AA59" s="946"/>
      <c r="AB59" s="955">
        <f t="shared" si="57"/>
        <v>0</v>
      </c>
      <c r="AC59" s="947"/>
      <c r="AD59" s="956">
        <f t="shared" si="58"/>
        <v>0</v>
      </c>
      <c r="AE59" s="948"/>
      <c r="AF59" s="949">
        <f t="shared" si="59"/>
        <v>0</v>
      </c>
      <c r="AG59" s="946">
        <f>+'A.P.U. 2024'!G9</f>
        <v>39347.699999999997</v>
      </c>
      <c r="AH59" s="957">
        <f t="shared" si="60"/>
        <v>11804.31</v>
      </c>
      <c r="AI59" s="647">
        <f t="shared" si="10"/>
        <v>11804.31</v>
      </c>
      <c r="AJ59" s="228"/>
      <c r="AK59" s="60"/>
      <c r="AL59" s="60"/>
      <c r="AM59" s="766"/>
      <c r="AN59" s="766"/>
      <c r="AO59" s="766"/>
      <c r="AP59" s="766"/>
      <c r="AQ59" s="766"/>
      <c r="AR59" s="766"/>
      <c r="AS59" s="766"/>
      <c r="AT59" s="766"/>
      <c r="AU59" s="766"/>
      <c r="AV59" s="766"/>
      <c r="AW59" s="766"/>
      <c r="AX59" s="766"/>
      <c r="AY59" s="766"/>
      <c r="AZ59" s="766"/>
      <c r="BA59" s="766"/>
      <c r="BB59" s="766"/>
      <c r="BC59" s="766"/>
      <c r="BD59" s="766"/>
      <c r="BE59" s="766"/>
      <c r="BF59" s="766"/>
      <c r="BG59" s="766"/>
      <c r="BH59" s="766"/>
      <c r="BI59" s="766"/>
      <c r="BJ59" s="766"/>
      <c r="BK59" s="766"/>
      <c r="BL59" s="766"/>
      <c r="BM59" s="766"/>
      <c r="BN59" s="766"/>
      <c r="BO59" s="766"/>
      <c r="BP59" s="766"/>
      <c r="BQ59" s="766"/>
      <c r="BR59" s="766"/>
      <c r="BS59" s="766"/>
      <c r="BT59" s="766"/>
      <c r="BU59" s="766"/>
      <c r="BV59" s="766"/>
      <c r="BW59" s="766"/>
      <c r="BX59" s="766"/>
      <c r="BY59" s="766"/>
      <c r="BZ59" s="766"/>
      <c r="CA59" s="766"/>
      <c r="CB59" s="766"/>
      <c r="CC59" s="766"/>
      <c r="CD59" s="766"/>
      <c r="CE59" s="766"/>
      <c r="CF59" s="766"/>
      <c r="CG59" s="766"/>
      <c r="CH59" s="766"/>
      <c r="CI59" s="766"/>
      <c r="CJ59" s="766"/>
      <c r="CK59" s="766"/>
      <c r="CL59" s="766"/>
      <c r="CM59" s="766"/>
      <c r="CN59" s="766"/>
      <c r="CO59" s="766"/>
      <c r="CP59" s="766"/>
      <c r="CQ59" s="766"/>
      <c r="CR59" s="766"/>
      <c r="CS59" s="766"/>
      <c r="CT59" s="766"/>
      <c r="CU59" s="766"/>
      <c r="CV59" s="766"/>
      <c r="CW59" s="766"/>
      <c r="CX59" s="766"/>
      <c r="CY59" s="766"/>
      <c r="CZ59" s="766"/>
      <c r="DA59" s="766"/>
      <c r="DB59" s="766"/>
      <c r="DC59" s="766"/>
      <c r="DD59" s="766"/>
      <c r="DE59" s="766"/>
      <c r="DF59" s="766"/>
      <c r="DG59" s="766"/>
      <c r="DH59" s="766"/>
      <c r="DI59" s="766"/>
      <c r="DJ59" s="766"/>
      <c r="DK59" s="766"/>
      <c r="DL59" s="766"/>
      <c r="DM59" s="766"/>
      <c r="DN59" s="766"/>
      <c r="DO59" s="766"/>
      <c r="DP59" s="766"/>
      <c r="DQ59" s="766"/>
      <c r="DR59" s="766"/>
      <c r="DS59" s="766"/>
      <c r="DT59" s="766"/>
      <c r="DU59" s="766"/>
      <c r="DV59" s="766"/>
      <c r="DW59" s="766"/>
      <c r="DX59" s="766"/>
      <c r="DY59" s="766"/>
      <c r="DZ59" s="766"/>
      <c r="EA59" s="766"/>
      <c r="EB59" s="766"/>
      <c r="EC59" s="766"/>
      <c r="ED59" s="766"/>
      <c r="EE59" s="766"/>
      <c r="EF59" s="766"/>
      <c r="EG59" s="766"/>
      <c r="EH59" s="766"/>
      <c r="EI59" s="766"/>
      <c r="EJ59" s="766"/>
      <c r="EK59" s="766"/>
      <c r="EL59" s="766"/>
      <c r="EM59" s="766"/>
      <c r="EN59" s="766"/>
    </row>
    <row r="60" spans="1:144" s="60" customFormat="1" ht="48" customHeight="1" thickBot="1">
      <c r="A60" s="1253" t="s">
        <v>317</v>
      </c>
      <c r="B60" s="1254"/>
      <c r="C60" s="1254"/>
      <c r="D60" s="1254"/>
      <c r="E60" s="1254"/>
      <c r="F60" s="1254"/>
      <c r="G60" s="1254"/>
      <c r="H60" s="1254"/>
      <c r="I60" s="1254"/>
      <c r="J60" s="1254"/>
      <c r="K60" s="1254"/>
      <c r="L60" s="1254"/>
      <c r="M60" s="1254"/>
      <c r="N60" s="1254"/>
      <c r="O60" s="1254"/>
      <c r="P60" s="1254"/>
      <c r="Q60" s="1254"/>
      <c r="R60" s="1254"/>
      <c r="S60" s="1254"/>
      <c r="T60" s="1254"/>
      <c r="U60" s="1254"/>
      <c r="V60" s="1254"/>
      <c r="W60" s="1254"/>
      <c r="X60" s="1255"/>
      <c r="Y60" s="244">
        <f>SUM(Y13:Y59)</f>
        <v>260546486.2359077</v>
      </c>
      <c r="Z60" s="245">
        <f>SUM(Z13:Z59)</f>
        <v>297479456.99674171</v>
      </c>
      <c r="AA60" s="246">
        <f>SUM(AA13:AA59)</f>
        <v>132638125.2609355</v>
      </c>
      <c r="AB60" s="246">
        <f>SUM(AB13:AB59)</f>
        <v>199792848.4964622</v>
      </c>
      <c r="AC60" s="247">
        <f>SUM(AC11:AC59)</f>
        <v>1968050.5919279244</v>
      </c>
      <c r="AD60" s="248">
        <f>SUM(AD13:AD59)</f>
        <v>32984134.622422189</v>
      </c>
      <c r="AE60" s="249">
        <f>SUM(AE11:AE59)</f>
        <v>4675696.8748606602</v>
      </c>
      <c r="AF60" s="250">
        <f>SUM(AF13:AF59)</f>
        <v>20250097.903579518</v>
      </c>
      <c r="AG60" s="251"/>
      <c r="AH60" s="252">
        <f>SUM(AH13:AH59)</f>
        <v>46409157.974277779</v>
      </c>
      <c r="AI60" s="253">
        <f>SUM(AI13:AI59)</f>
        <v>297629090.99674171</v>
      </c>
      <c r="AJ60" s="254">
        <f>ROUND((SUM(AJ17:AJ58)),0)</f>
        <v>35825362</v>
      </c>
    </row>
    <row r="61" spans="1:144" s="60" customFormat="1" ht="18.75" customHeight="1">
      <c r="A61" s="255"/>
      <c r="B61" s="255"/>
      <c r="C61" s="256"/>
      <c r="D61" s="255"/>
      <c r="E61" s="257"/>
      <c r="F61" s="258"/>
      <c r="G61" s="258"/>
      <c r="H61" s="258"/>
      <c r="I61" s="258"/>
      <c r="J61" s="258"/>
      <c r="K61" s="258"/>
      <c r="L61" s="258"/>
      <c r="M61" s="258"/>
      <c r="N61" s="258"/>
      <c r="O61" s="258"/>
      <c r="P61" s="258"/>
      <c r="Q61" s="135"/>
      <c r="R61" s="135"/>
      <c r="S61" s="135"/>
      <c r="T61" s="135"/>
      <c r="U61" s="259"/>
      <c r="V61" s="259"/>
      <c r="W61" s="260"/>
      <c r="X61" s="260"/>
      <c r="Y61" s="261"/>
      <c r="Z61" s="260"/>
      <c r="AB61" s="228"/>
      <c r="AC61" s="262"/>
      <c r="AD61" s="228"/>
      <c r="AF61" s="228"/>
      <c r="AG61" s="263"/>
      <c r="AH61" s="264"/>
    </row>
    <row r="62" spans="1:144" s="60" customFormat="1" ht="48.75" customHeight="1">
      <c r="A62" s="255"/>
      <c r="B62" s="255"/>
      <c r="C62" s="265" t="s">
        <v>318</v>
      </c>
      <c r="D62" s="1250">
        <f>Z60</f>
        <v>297479456.99674171</v>
      </c>
      <c r="E62" s="1251"/>
      <c r="F62" s="1251"/>
      <c r="G62" s="1251"/>
      <c r="H62" s="1251"/>
      <c r="I62" s="1251"/>
      <c r="J62" s="1251"/>
      <c r="K62" s="1251"/>
      <c r="L62" s="1251"/>
      <c r="M62" s="1251"/>
      <c r="N62" s="1251"/>
      <c r="O62" s="1251"/>
      <c r="P62" s="1251"/>
      <c r="Q62" s="1251"/>
      <c r="R62" s="1251"/>
      <c r="S62" s="1251"/>
      <c r="T62" s="1251"/>
      <c r="U62" s="1251"/>
      <c r="V62" s="1251"/>
      <c r="W62" s="1251"/>
      <c r="X62" s="1251"/>
      <c r="Y62" s="1251"/>
      <c r="Z62" s="1252"/>
      <c r="AA62" s="228"/>
      <c r="AB62" s="228">
        <f>AB60+AD60+AF60</f>
        <v>253027081.02246392</v>
      </c>
      <c r="AC62" s="228"/>
      <c r="AD62" s="228"/>
      <c r="AE62" s="228"/>
      <c r="AF62" s="228"/>
      <c r="AG62" s="263"/>
      <c r="AH62" s="228"/>
      <c r="AI62" s="266"/>
    </row>
    <row r="63" spans="1:144" s="60" customFormat="1" ht="29.25" customHeight="1">
      <c r="A63" s="255"/>
      <c r="B63" s="255"/>
      <c r="C63" s="265" t="s">
        <v>319</v>
      </c>
      <c r="D63" s="1250">
        <f>D62*0.25</f>
        <v>74369864.249185428</v>
      </c>
      <c r="E63" s="1251"/>
      <c r="F63" s="1251"/>
      <c r="G63" s="1251"/>
      <c r="H63" s="1251"/>
      <c r="I63" s="1251"/>
      <c r="J63" s="1251"/>
      <c r="K63" s="1251"/>
      <c r="L63" s="1251"/>
      <c r="M63" s="1251"/>
      <c r="N63" s="1251"/>
      <c r="O63" s="1251"/>
      <c r="P63" s="1251"/>
      <c r="Q63" s="1251"/>
      <c r="R63" s="1251"/>
      <c r="S63" s="1251"/>
      <c r="T63" s="1251"/>
      <c r="U63" s="1251"/>
      <c r="V63" s="1251"/>
      <c r="W63" s="1251"/>
      <c r="X63" s="1251"/>
      <c r="Y63" s="1251"/>
      <c r="Z63" s="1252"/>
      <c r="AB63" s="228">
        <f>AB62-AF60</f>
        <v>232776983.11888438</v>
      </c>
      <c r="AG63" s="263"/>
    </row>
    <row r="64" spans="1:144" s="60" customFormat="1" ht="29.25" customHeight="1">
      <c r="A64" s="255"/>
      <c r="B64" s="255"/>
      <c r="C64" s="265" t="s">
        <v>320</v>
      </c>
      <c r="D64" s="1250"/>
      <c r="E64" s="1251"/>
      <c r="F64" s="1251"/>
      <c r="G64" s="1251"/>
      <c r="H64" s="1251"/>
      <c r="I64" s="1251"/>
      <c r="J64" s="1251"/>
      <c r="K64" s="1251"/>
      <c r="L64" s="1251"/>
      <c r="M64" s="1251"/>
      <c r="N64" s="1251"/>
      <c r="O64" s="1251"/>
      <c r="P64" s="1251"/>
      <c r="Q64" s="1251"/>
      <c r="R64" s="1251"/>
      <c r="S64" s="1251"/>
      <c r="T64" s="1251"/>
      <c r="U64" s="1251"/>
      <c r="V64" s="1251"/>
      <c r="W64" s="1251"/>
      <c r="X64" s="1251"/>
      <c r="Y64" s="1251"/>
      <c r="Z64" s="1252"/>
      <c r="AB64" s="228"/>
      <c r="AG64" s="263"/>
      <c r="AK64" s="866" t="s">
        <v>825</v>
      </c>
      <c r="AL64" s="933" t="s">
        <v>820</v>
      </c>
      <c r="AM64" s="934">
        <v>1300000</v>
      </c>
    </row>
    <row r="65" spans="2:40" ht="21" customHeight="1" thickBot="1">
      <c r="B65" s="267" t="s">
        <v>182</v>
      </c>
      <c r="C65" s="265" t="s">
        <v>321</v>
      </c>
      <c r="D65" s="1250">
        <f>D62+D63+D64</f>
        <v>371849321.24592716</v>
      </c>
      <c r="E65" s="1251"/>
      <c r="F65" s="1251"/>
      <c r="G65" s="1251"/>
      <c r="H65" s="1251"/>
      <c r="I65" s="1251"/>
      <c r="J65" s="1251"/>
      <c r="K65" s="1251"/>
      <c r="L65" s="1251"/>
      <c r="M65" s="1251"/>
      <c r="N65" s="1251"/>
      <c r="O65" s="1251"/>
      <c r="P65" s="1251"/>
      <c r="Q65" s="1251"/>
      <c r="R65" s="1251"/>
      <c r="S65" s="1251"/>
      <c r="T65" s="1251"/>
      <c r="U65" s="1251"/>
      <c r="V65" s="1251"/>
      <c r="W65" s="1251"/>
      <c r="X65" s="1251"/>
      <c r="Y65" s="1251"/>
      <c r="Z65" s="1252"/>
      <c r="AK65" s="1203" t="s">
        <v>827</v>
      </c>
      <c r="AL65" s="1204"/>
      <c r="AM65" s="1205"/>
    </row>
    <row r="66" spans="2:40" ht="36" customHeight="1" thickBot="1">
      <c r="B66" s="268" t="s">
        <v>322</v>
      </c>
      <c r="C66" s="265" t="s">
        <v>278</v>
      </c>
      <c r="D66" s="1245">
        <f>AJ60</f>
        <v>35825362</v>
      </c>
      <c r="E66" s="1246"/>
      <c r="F66" s="1246"/>
      <c r="G66" s="1246"/>
      <c r="H66" s="1246"/>
      <c r="I66" s="1246"/>
      <c r="J66" s="1246"/>
      <c r="K66" s="1246"/>
      <c r="L66" s="1246"/>
      <c r="M66" s="1246"/>
      <c r="N66" s="1246"/>
      <c r="O66" s="1246"/>
      <c r="P66" s="1246"/>
      <c r="Q66" s="1246"/>
      <c r="R66" s="1246"/>
      <c r="S66" s="1246"/>
      <c r="T66" s="1246"/>
      <c r="U66" s="1246"/>
      <c r="V66" s="1246"/>
      <c r="W66" s="1246"/>
      <c r="X66" s="1246"/>
      <c r="Y66" s="1246"/>
      <c r="Z66" s="1246"/>
      <c r="AC66" s="267"/>
      <c r="AK66" s="269" t="s">
        <v>323</v>
      </c>
      <c r="AL66" s="270" t="s">
        <v>826</v>
      </c>
      <c r="AM66" s="270" t="s">
        <v>324</v>
      </c>
    </row>
    <row r="67" spans="2:40" ht="15.75" thickBot="1">
      <c r="B67" s="268" t="e">
        <f>+AB18+#REF!+AB24+AB44+AD18+#REF!+AD21+AD23+AD42+AF18+#REF!+AF21+AF23+AF42+AF44</f>
        <v>#REF!</v>
      </c>
      <c r="C67" s="271"/>
      <c r="Q67" s="273"/>
      <c r="R67" s="273"/>
      <c r="S67" s="273"/>
      <c r="T67" s="273"/>
      <c r="U67" s="273"/>
      <c r="V67" s="273"/>
      <c r="W67" s="273"/>
      <c r="AC67" s="276"/>
      <c r="AK67" s="767" t="s">
        <v>325</v>
      </c>
      <c r="AL67" s="768">
        <v>149000</v>
      </c>
      <c r="AM67" s="768">
        <f>$AM$64*25</f>
        <v>32500000</v>
      </c>
    </row>
    <row r="68" spans="2:40" ht="15.75" thickBot="1">
      <c r="C68" s="271"/>
      <c r="Q68" s="273"/>
      <c r="R68" s="273"/>
      <c r="S68" s="273"/>
      <c r="T68" s="273"/>
      <c r="U68" s="273"/>
      <c r="V68" s="273"/>
      <c r="W68" s="273"/>
      <c r="AC68" s="276"/>
      <c r="AK68" s="767" t="s">
        <v>326</v>
      </c>
      <c r="AL68" s="768">
        <v>209000</v>
      </c>
      <c r="AM68" s="768">
        <f>AM64*35</f>
        <v>45500000</v>
      </c>
    </row>
    <row r="69" spans="2:40" ht="15.75" thickBot="1">
      <c r="B69" s="267" t="s">
        <v>327</v>
      </c>
      <c r="C69" s="271"/>
      <c r="Q69" s="273"/>
      <c r="R69" s="273"/>
      <c r="S69" s="273"/>
      <c r="T69" s="273"/>
      <c r="U69" s="273"/>
      <c r="V69" s="273"/>
      <c r="W69" s="273"/>
      <c r="AC69" s="276"/>
      <c r="AK69" s="767" t="s">
        <v>328</v>
      </c>
      <c r="AL69" s="768">
        <v>298000</v>
      </c>
      <c r="AM69" s="768">
        <f>AM64*50</f>
        <v>65000000</v>
      </c>
    </row>
    <row r="70" spans="2:40" ht="15.75" thickBot="1">
      <c r="B70" s="268">
        <f>+AB17+AB45+AB53+AD17+AD47+AD54+AF17+AF45+AF47+AF53+AF54+AH60</f>
        <v>63512539.529304177</v>
      </c>
      <c r="C70" s="271"/>
      <c r="Q70" s="273"/>
      <c r="R70" s="273"/>
      <c r="S70" s="273"/>
      <c r="T70" s="273"/>
      <c r="U70" s="273"/>
      <c r="V70" s="273"/>
      <c r="W70" s="273"/>
      <c r="AC70" s="276"/>
      <c r="AK70" s="767" t="s">
        <v>329</v>
      </c>
      <c r="AL70" s="768">
        <v>417000</v>
      </c>
      <c r="AM70" s="768">
        <f>AM64*70</f>
        <v>91000000</v>
      </c>
    </row>
    <row r="71" spans="2:40" ht="15.75" thickBot="1">
      <c r="B71" s="268"/>
      <c r="C71" s="271"/>
      <c r="Q71" s="273"/>
      <c r="R71" s="273"/>
      <c r="S71" s="273"/>
      <c r="T71" s="273"/>
      <c r="U71" s="273"/>
      <c r="V71" s="273"/>
      <c r="W71" s="273"/>
      <c r="AC71" s="276"/>
      <c r="AK71" s="767" t="s">
        <v>330</v>
      </c>
      <c r="AL71" s="768">
        <v>597000</v>
      </c>
      <c r="AM71" s="768">
        <f>AM64*100</f>
        <v>130000000</v>
      </c>
    </row>
    <row r="72" spans="2:40" ht="15.75" thickBot="1">
      <c r="C72" s="271"/>
      <c r="Q72" s="273"/>
      <c r="R72" s="273"/>
      <c r="S72" s="273"/>
      <c r="T72" s="273"/>
      <c r="U72" s="273"/>
      <c r="V72" s="273"/>
      <c r="W72" s="273"/>
      <c r="AC72" s="276"/>
      <c r="AK72" s="767" t="s">
        <v>331</v>
      </c>
      <c r="AL72" s="865">
        <v>1194000</v>
      </c>
      <c r="AM72" s="768">
        <f>AM64*200</f>
        <v>260000000</v>
      </c>
    </row>
    <row r="73" spans="2:40" ht="15.75" thickBot="1">
      <c r="Q73" s="273"/>
      <c r="R73" s="273"/>
      <c r="S73" s="273"/>
      <c r="T73" s="273"/>
      <c r="U73" s="273"/>
      <c r="V73" s="273"/>
      <c r="W73" s="273"/>
      <c r="AC73" s="276"/>
      <c r="AD73" s="276"/>
      <c r="AK73" s="767" t="s">
        <v>332</v>
      </c>
      <c r="AL73" s="865">
        <v>1792000</v>
      </c>
      <c r="AM73" s="768">
        <f>AM64*300</f>
        <v>390000000</v>
      </c>
    </row>
    <row r="74" spans="2:40" ht="15.75" thickBot="1">
      <c r="Q74" s="273"/>
      <c r="R74" s="273"/>
      <c r="S74" s="273"/>
      <c r="T74" s="273"/>
      <c r="U74" s="273"/>
      <c r="V74" s="273"/>
      <c r="W74" s="273"/>
      <c r="AA74" s="276"/>
      <c r="AC74" s="276"/>
      <c r="AD74" s="648" t="s">
        <v>200</v>
      </c>
      <c r="AK74" s="767" t="s">
        <v>333</v>
      </c>
      <c r="AL74" s="865">
        <v>2391000</v>
      </c>
      <c r="AM74" s="768">
        <f>AM64*400</f>
        <v>520000000</v>
      </c>
    </row>
    <row r="75" spans="2:40" ht="27" customHeight="1" thickBot="1">
      <c r="Q75" s="273"/>
      <c r="R75" s="273"/>
      <c r="S75" s="273"/>
      <c r="T75" s="273"/>
      <c r="U75" s="273"/>
      <c r="V75" s="273"/>
      <c r="W75" s="273"/>
      <c r="AC75" s="652" t="s">
        <v>334</v>
      </c>
      <c r="AD75" s="644">
        <f>AB60+AD60</f>
        <v>232776983.11888438</v>
      </c>
      <c r="AK75" s="767" t="s">
        <v>335</v>
      </c>
      <c r="AL75" s="865">
        <v>2989000</v>
      </c>
      <c r="AM75" s="768">
        <f>AM64*500</f>
        <v>650000000</v>
      </c>
    </row>
    <row r="76" spans="2:40" ht="15.75" thickBot="1">
      <c r="Q76" s="273"/>
      <c r="R76" s="273"/>
      <c r="S76" s="273"/>
      <c r="T76" s="273"/>
      <c r="U76" s="273"/>
      <c r="V76" s="273"/>
      <c r="W76" s="273"/>
      <c r="AA76" s="276"/>
      <c r="AC76" s="649" t="s">
        <v>336</v>
      </c>
      <c r="AD76" s="643">
        <f>AF60</f>
        <v>20250097.903579518</v>
      </c>
      <c r="AF76" s="276"/>
      <c r="AK76" s="767" t="s">
        <v>337</v>
      </c>
      <c r="AL76" s="865">
        <v>4183000</v>
      </c>
      <c r="AM76" s="768">
        <f>AM64*700</f>
        <v>910000000</v>
      </c>
      <c r="AN76" s="60"/>
    </row>
    <row r="77" spans="2:40" ht="24.6" customHeight="1" thickBot="1">
      <c r="Q77" s="273"/>
      <c r="R77" s="273"/>
      <c r="S77" s="273"/>
      <c r="T77" s="273"/>
      <c r="U77" s="273"/>
      <c r="V77" s="273"/>
      <c r="W77" s="273"/>
      <c r="AC77" s="649" t="s">
        <v>338</v>
      </c>
      <c r="AD77" s="643">
        <f>AH60</f>
        <v>46409157.974277779</v>
      </c>
      <c r="AK77" s="767" t="s">
        <v>339</v>
      </c>
      <c r="AL77" s="865">
        <v>5380000</v>
      </c>
      <c r="AM77" s="768">
        <f>AM64*900</f>
        <v>1170000000</v>
      </c>
      <c r="AN77" s="935"/>
    </row>
    <row r="78" spans="2:40" ht="15.75" thickBot="1">
      <c r="Q78" s="273"/>
      <c r="R78" s="273"/>
      <c r="S78" s="273"/>
      <c r="T78" s="273"/>
      <c r="U78" s="273"/>
      <c r="V78" s="273"/>
      <c r="W78" s="273"/>
      <c r="AD78" s="279">
        <f>+SUM(AD75:AD77)</f>
        <v>299436238.99674171</v>
      </c>
      <c r="AE78" s="280" t="s">
        <v>340</v>
      </c>
      <c r="AK78" s="767" t="s">
        <v>341</v>
      </c>
      <c r="AL78" s="865">
        <v>8966000</v>
      </c>
      <c r="AM78" s="768">
        <f>AM64*1500</f>
        <v>1950000000</v>
      </c>
    </row>
    <row r="79" spans="2:40" ht="15.75" thickBot="1">
      <c r="Q79" s="273"/>
      <c r="R79" s="273"/>
      <c r="S79" s="273"/>
      <c r="T79" s="273"/>
      <c r="U79" s="273"/>
      <c r="V79" s="273"/>
      <c r="W79" s="273"/>
      <c r="AD79" s="282">
        <v>150000</v>
      </c>
      <c r="AE79" s="56" t="s">
        <v>342</v>
      </c>
      <c r="AK79" s="767" t="s">
        <v>343</v>
      </c>
      <c r="AL79" s="865">
        <v>12643000</v>
      </c>
      <c r="AM79" s="768">
        <f>AM64*2115</f>
        <v>2749500000</v>
      </c>
    </row>
    <row r="80" spans="2:40">
      <c r="Q80" s="273"/>
      <c r="R80" s="273"/>
      <c r="S80" s="273"/>
      <c r="T80" s="273"/>
      <c r="U80" s="273"/>
      <c r="V80" s="273"/>
      <c r="W80" s="273"/>
      <c r="AA80" s="650"/>
      <c r="AC80" s="276"/>
      <c r="AD80" s="282">
        <f>IF(AD78&lt;AM67,AL67,IF(AND(AD78&gt;=AM67,AD78&lt;AM68),AL68,IF(AND(AD78&gt;=AM68,AD78&lt;AM69),AL69,IF(AND(AD78&gt;=AM69,AD78&lt;AM70),AL70,IF(AND(AD78&gt;=AM70,AD78&lt;AM71),AL71,IF(AND(AD78&gt;=AM71,AD78&lt;AM72),AL72,IF(AND(AD78&gt;=AM72,AD78&lt;AM73),AL73,IF(AND(AD78&gt;=AM73,AD78&lt;AM74),AL74,IF(AND(AD78&gt;=AM74,AD78&lt;AM75),AL75,IF(AND(AD78&gt;=AM75,AD78&lt;AM76),AL76,IF(AND(AD78&gt;=AM76,AD78&lt;AM77),AL77,0)))))))))))</f>
        <v>1792000</v>
      </c>
      <c r="AE80" s="276"/>
      <c r="AG80" s="276"/>
    </row>
    <row r="81" spans="17:34">
      <c r="Q81" s="273"/>
      <c r="R81" s="273"/>
      <c r="S81" s="273"/>
      <c r="T81" s="273"/>
      <c r="U81" s="273"/>
      <c r="V81" s="273"/>
      <c r="W81" s="273"/>
      <c r="AA81" s="650"/>
      <c r="AB81" s="651"/>
      <c r="AC81" s="276"/>
      <c r="AG81" s="276"/>
    </row>
    <row r="82" spans="17:34">
      <c r="Q82" s="273"/>
      <c r="R82" s="273"/>
      <c r="S82" s="273"/>
      <c r="T82" s="273"/>
      <c r="U82" s="273"/>
      <c r="V82" s="273"/>
      <c r="W82" s="273"/>
      <c r="AC82" s="276"/>
    </row>
    <row r="83" spans="17:34">
      <c r="Q83" s="273"/>
      <c r="R83" s="273"/>
      <c r="S83" s="273"/>
      <c r="T83" s="273"/>
      <c r="U83" s="273"/>
      <c r="V83" s="273"/>
      <c r="W83" s="273"/>
      <c r="AC83" s="276"/>
      <c r="AD83" s="283"/>
      <c r="AE83" s="284"/>
    </row>
    <row r="84" spans="17:34">
      <c r="Q84" s="273"/>
      <c r="R84" s="273"/>
      <c r="S84" s="273"/>
      <c r="T84" s="273"/>
      <c r="U84" s="273"/>
      <c r="V84" s="273"/>
      <c r="W84" s="273"/>
      <c r="AC84" s="228"/>
    </row>
    <row r="85" spans="17:34" ht="15">
      <c r="Q85" s="273"/>
      <c r="R85" s="273"/>
      <c r="S85" s="273"/>
      <c r="T85" s="273"/>
      <c r="U85" s="273"/>
      <c r="V85" s="273"/>
      <c r="W85" s="273"/>
      <c r="AG85" s="281"/>
    </row>
    <row r="86" spans="17:34">
      <c r="Q86" s="273"/>
      <c r="R86" s="273"/>
      <c r="S86" s="273"/>
      <c r="T86" s="273"/>
      <c r="U86" s="273"/>
      <c r="V86" s="273"/>
      <c r="W86" s="273"/>
    </row>
    <row r="87" spans="17:34">
      <c r="Q87" s="273"/>
      <c r="R87" s="273"/>
      <c r="S87" s="273"/>
      <c r="T87" s="273"/>
      <c r="U87" s="273"/>
      <c r="V87" s="273"/>
      <c r="W87" s="273"/>
    </row>
    <row r="88" spans="17:34">
      <c r="Q88" s="273"/>
      <c r="R88" s="273"/>
      <c r="S88" s="273"/>
      <c r="T88" s="273"/>
      <c r="U88" s="273"/>
      <c r="V88" s="273"/>
      <c r="W88" s="273"/>
      <c r="AF88" s="284"/>
      <c r="AH88" s="285"/>
    </row>
    <row r="89" spans="17:34">
      <c r="Q89" s="273"/>
      <c r="R89" s="273"/>
      <c r="S89" s="273"/>
      <c r="T89" s="273"/>
      <c r="U89" s="273"/>
      <c r="V89" s="273"/>
      <c r="W89" s="273"/>
      <c r="AC89" s="278"/>
      <c r="AE89" s="286"/>
    </row>
    <row r="90" spans="17:34">
      <c r="Q90" s="273"/>
      <c r="R90" s="273"/>
      <c r="S90" s="273"/>
      <c r="T90" s="273"/>
      <c r="U90" s="273"/>
      <c r="V90" s="273"/>
      <c r="W90" s="273"/>
      <c r="AE90" s="286"/>
    </row>
    <row r="91" spans="17:34">
      <c r="Q91" s="273"/>
      <c r="R91" s="273"/>
      <c r="S91" s="273"/>
      <c r="T91" s="273"/>
      <c r="U91" s="273"/>
      <c r="V91" s="273"/>
      <c r="W91" s="273"/>
    </row>
    <row r="92" spans="17:34">
      <c r="Q92" s="273"/>
      <c r="R92" s="273"/>
      <c r="S92" s="273"/>
      <c r="T92" s="273"/>
      <c r="U92" s="273"/>
      <c r="V92" s="273"/>
      <c r="W92" s="273"/>
    </row>
    <row r="93" spans="17:34">
      <c r="Q93" s="273"/>
      <c r="R93" s="273"/>
      <c r="S93" s="273"/>
      <c r="T93" s="273"/>
      <c r="U93" s="273"/>
      <c r="V93" s="273"/>
      <c r="W93" s="273"/>
    </row>
    <row r="94" spans="17:34">
      <c r="Q94" s="273"/>
      <c r="R94" s="273"/>
      <c r="S94" s="273"/>
      <c r="T94" s="273"/>
      <c r="U94" s="273"/>
      <c r="V94" s="273"/>
      <c r="W94" s="273"/>
    </row>
    <row r="95" spans="17:34">
      <c r="Q95" s="273"/>
      <c r="R95" s="273"/>
      <c r="S95" s="273"/>
      <c r="T95" s="273"/>
      <c r="U95" s="273"/>
      <c r="V95" s="273"/>
      <c r="W95" s="273"/>
    </row>
    <row r="96" spans="17:34">
      <c r="Q96" s="273"/>
      <c r="R96" s="273"/>
      <c r="S96" s="273"/>
      <c r="T96" s="273"/>
      <c r="U96" s="273"/>
      <c r="V96" s="273"/>
      <c r="W96" s="273"/>
    </row>
    <row r="97" spans="17:23">
      <c r="Q97" s="273"/>
      <c r="R97" s="273"/>
      <c r="S97" s="273"/>
      <c r="T97" s="273"/>
      <c r="U97" s="273"/>
      <c r="V97" s="273"/>
      <c r="W97" s="273"/>
    </row>
    <row r="98" spans="17:23">
      <c r="Q98" s="273"/>
      <c r="R98" s="273"/>
      <c r="S98" s="273"/>
      <c r="T98" s="273"/>
      <c r="U98" s="273"/>
      <c r="V98" s="273"/>
      <c r="W98" s="273"/>
    </row>
    <row r="99" spans="17:23">
      <c r="Q99" s="273"/>
      <c r="R99" s="273"/>
      <c r="S99" s="273"/>
      <c r="T99" s="273"/>
      <c r="U99" s="273"/>
      <c r="V99" s="273"/>
      <c r="W99" s="273"/>
    </row>
    <row r="100" spans="17:23">
      <c r="Q100" s="273"/>
      <c r="R100" s="273"/>
      <c r="S100" s="273"/>
      <c r="T100" s="273"/>
      <c r="U100" s="273"/>
      <c r="V100" s="273"/>
      <c r="W100" s="273"/>
    </row>
    <row r="101" spans="17:23">
      <c r="Q101" s="273"/>
      <c r="R101" s="273"/>
      <c r="S101" s="273"/>
      <c r="T101" s="273"/>
      <c r="U101" s="273"/>
      <c r="V101" s="273"/>
      <c r="W101" s="273"/>
    </row>
    <row r="102" spans="17:23">
      <c r="Q102" s="273"/>
      <c r="R102" s="273"/>
      <c r="S102" s="273"/>
      <c r="T102" s="273"/>
      <c r="U102" s="273"/>
      <c r="V102" s="273"/>
      <c r="W102" s="273"/>
    </row>
    <row r="103" spans="17:23">
      <c r="Q103" s="273"/>
      <c r="R103" s="273"/>
      <c r="S103" s="273"/>
      <c r="T103" s="273"/>
      <c r="U103" s="273"/>
      <c r="V103" s="273"/>
      <c r="W103" s="273"/>
    </row>
    <row r="104" spans="17:23">
      <c r="Q104" s="273"/>
      <c r="R104" s="273"/>
      <c r="S104" s="273"/>
      <c r="T104" s="273"/>
      <c r="U104" s="273"/>
      <c r="V104" s="273"/>
      <c r="W104" s="273"/>
    </row>
    <row r="105" spans="17:23">
      <c r="Q105" s="273"/>
      <c r="R105" s="273"/>
      <c r="S105" s="273"/>
      <c r="T105" s="273"/>
      <c r="U105" s="273"/>
      <c r="V105" s="273"/>
      <c r="W105" s="273"/>
    </row>
    <row r="106" spans="17:23">
      <c r="Q106" s="273"/>
      <c r="R106" s="273"/>
      <c r="S106" s="273"/>
      <c r="T106" s="273"/>
      <c r="U106" s="273"/>
      <c r="V106" s="273"/>
      <c r="W106" s="273"/>
    </row>
    <row r="107" spans="17:23">
      <c r="Q107" s="273"/>
      <c r="R107" s="273"/>
      <c r="S107" s="273"/>
      <c r="T107" s="273"/>
      <c r="U107" s="273"/>
      <c r="V107" s="273"/>
      <c r="W107" s="273"/>
    </row>
    <row r="108" spans="17:23">
      <c r="Q108" s="273"/>
      <c r="R108" s="273"/>
      <c r="S108" s="273"/>
      <c r="T108" s="273"/>
      <c r="U108" s="273"/>
      <c r="V108" s="273"/>
      <c r="W108" s="273"/>
    </row>
    <row r="109" spans="17:23">
      <c r="Q109" s="273"/>
      <c r="R109" s="273"/>
      <c r="S109" s="273"/>
      <c r="T109" s="273"/>
      <c r="U109" s="273"/>
      <c r="V109" s="273"/>
      <c r="W109" s="273"/>
    </row>
    <row r="110" spans="17:23">
      <c r="Q110" s="273"/>
      <c r="R110" s="273"/>
      <c r="S110" s="273"/>
      <c r="T110" s="273"/>
      <c r="U110" s="273"/>
      <c r="V110" s="273"/>
      <c r="W110" s="273"/>
    </row>
    <row r="111" spans="17:23">
      <c r="Q111" s="273"/>
      <c r="R111" s="273"/>
      <c r="S111" s="273"/>
      <c r="T111" s="273"/>
      <c r="U111" s="273"/>
      <c r="V111" s="273"/>
      <c r="W111" s="273"/>
    </row>
    <row r="112" spans="17:23">
      <c r="Q112" s="273"/>
      <c r="R112" s="273"/>
      <c r="S112" s="273"/>
      <c r="T112" s="273"/>
      <c r="U112" s="273"/>
      <c r="V112" s="273"/>
      <c r="W112" s="273"/>
    </row>
    <row r="113" spans="17:23">
      <c r="Q113" s="273"/>
      <c r="R113" s="273"/>
      <c r="S113" s="273"/>
      <c r="T113" s="273"/>
      <c r="U113" s="273"/>
      <c r="V113" s="273"/>
      <c r="W113" s="273"/>
    </row>
    <row r="114" spans="17:23">
      <c r="Q114" s="273"/>
      <c r="R114" s="273"/>
      <c r="S114" s="273"/>
      <c r="T114" s="273"/>
      <c r="U114" s="273"/>
      <c r="V114" s="273"/>
      <c r="W114" s="273"/>
    </row>
    <row r="115" spans="17:23">
      <c r="Q115" s="273"/>
      <c r="R115" s="273"/>
      <c r="S115" s="273"/>
      <c r="T115" s="273"/>
      <c r="U115" s="273"/>
      <c r="V115" s="273"/>
      <c r="W115" s="273"/>
    </row>
    <row r="116" spans="17:23">
      <c r="Q116" s="273"/>
      <c r="R116" s="273"/>
      <c r="S116" s="273"/>
      <c r="T116" s="273"/>
      <c r="U116" s="273"/>
      <c r="V116" s="273"/>
      <c r="W116" s="273"/>
    </row>
    <row r="117" spans="17:23">
      <c r="Q117" s="273"/>
      <c r="R117" s="273"/>
      <c r="S117" s="273"/>
      <c r="T117" s="273"/>
      <c r="U117" s="273"/>
      <c r="V117" s="273"/>
      <c r="W117" s="273"/>
    </row>
    <row r="118" spans="17:23">
      <c r="Q118" s="273"/>
      <c r="R118" s="273"/>
      <c r="S118" s="273"/>
      <c r="T118" s="273"/>
      <c r="U118" s="273"/>
      <c r="V118" s="273"/>
      <c r="W118" s="273"/>
    </row>
    <row r="119" spans="17:23">
      <c r="Q119" s="273"/>
      <c r="R119" s="273"/>
      <c r="S119" s="273"/>
      <c r="T119" s="273"/>
      <c r="U119" s="273"/>
      <c r="V119" s="273"/>
      <c r="W119" s="273"/>
    </row>
    <row r="120" spans="17:23">
      <c r="Q120" s="273"/>
      <c r="R120" s="273"/>
      <c r="S120" s="273"/>
      <c r="T120" s="273"/>
      <c r="U120" s="273"/>
      <c r="V120" s="273"/>
      <c r="W120" s="273"/>
    </row>
    <row r="121" spans="17:23">
      <c r="Q121" s="273"/>
      <c r="R121" s="273"/>
      <c r="S121" s="273"/>
      <c r="T121" s="273"/>
      <c r="U121" s="273"/>
      <c r="V121" s="273"/>
      <c r="W121" s="273"/>
    </row>
    <row r="122" spans="17:23">
      <c r="Q122" s="273"/>
      <c r="R122" s="273"/>
      <c r="S122" s="273"/>
      <c r="T122" s="273"/>
      <c r="U122" s="273"/>
      <c r="V122" s="273"/>
      <c r="W122" s="273"/>
    </row>
    <row r="123" spans="17:23">
      <c r="Q123" s="273"/>
      <c r="R123" s="273"/>
      <c r="S123" s="273"/>
      <c r="T123" s="273"/>
      <c r="U123" s="273"/>
      <c r="V123" s="273"/>
      <c r="W123" s="273"/>
    </row>
    <row r="124" spans="17:23">
      <c r="Q124" s="273"/>
      <c r="R124" s="273"/>
      <c r="S124" s="273"/>
      <c r="T124" s="273"/>
      <c r="U124" s="273"/>
      <c r="V124" s="273"/>
      <c r="W124" s="273"/>
    </row>
    <row r="125" spans="17:23">
      <c r="Q125" s="273"/>
      <c r="R125" s="273"/>
      <c r="S125" s="273"/>
      <c r="T125" s="273"/>
      <c r="U125" s="273"/>
      <c r="V125" s="273"/>
      <c r="W125" s="273"/>
    </row>
    <row r="126" spans="17:23">
      <c r="Q126" s="273"/>
      <c r="R126" s="273"/>
      <c r="S126" s="273"/>
      <c r="T126" s="273"/>
      <c r="U126" s="273"/>
      <c r="V126" s="273"/>
      <c r="W126" s="273"/>
    </row>
    <row r="127" spans="17:23">
      <c r="Q127" s="273"/>
      <c r="R127" s="273"/>
      <c r="S127" s="273"/>
      <c r="T127" s="273"/>
      <c r="U127" s="273"/>
      <c r="V127" s="273"/>
      <c r="W127" s="273"/>
    </row>
    <row r="128" spans="17:23">
      <c r="Q128" s="273"/>
      <c r="R128" s="273"/>
      <c r="S128" s="273"/>
      <c r="T128" s="273"/>
      <c r="U128" s="273"/>
      <c r="V128" s="273"/>
      <c r="W128" s="273"/>
    </row>
    <row r="129" spans="17:23">
      <c r="Q129" s="273"/>
      <c r="R129" s="273"/>
      <c r="S129" s="273"/>
      <c r="T129" s="273"/>
      <c r="U129" s="273"/>
      <c r="V129" s="273"/>
      <c r="W129" s="273"/>
    </row>
    <row r="130" spans="17:23">
      <c r="Q130" s="273"/>
      <c r="R130" s="273"/>
      <c r="S130" s="273"/>
      <c r="T130" s="273"/>
      <c r="U130" s="273"/>
      <c r="V130" s="273"/>
      <c r="W130" s="273"/>
    </row>
    <row r="131" spans="17:23">
      <c r="Q131" s="273"/>
      <c r="R131" s="273"/>
      <c r="S131" s="273"/>
      <c r="T131" s="273"/>
      <c r="U131" s="273"/>
      <c r="V131" s="273"/>
      <c r="W131" s="273"/>
    </row>
    <row r="132" spans="17:23">
      <c r="Q132" s="273"/>
      <c r="R132" s="273"/>
      <c r="S132" s="273"/>
      <c r="T132" s="273"/>
      <c r="U132" s="273"/>
      <c r="V132" s="273"/>
      <c r="W132" s="273"/>
    </row>
    <row r="133" spans="17:23">
      <c r="Q133" s="273"/>
      <c r="R133" s="273"/>
      <c r="S133" s="273"/>
      <c r="T133" s="273"/>
      <c r="U133" s="273"/>
      <c r="V133" s="273"/>
      <c r="W133" s="273"/>
    </row>
    <row r="134" spans="17:23">
      <c r="Q134" s="273"/>
      <c r="R134" s="273"/>
      <c r="S134" s="273"/>
      <c r="T134" s="273"/>
      <c r="U134" s="273"/>
      <c r="V134" s="273"/>
      <c r="W134" s="273"/>
    </row>
    <row r="135" spans="17:23">
      <c r="Q135" s="273"/>
      <c r="R135" s="273"/>
      <c r="S135" s="273"/>
      <c r="T135" s="273"/>
      <c r="U135" s="273"/>
      <c r="V135" s="273"/>
      <c r="W135" s="273"/>
    </row>
    <row r="136" spans="17:23">
      <c r="Q136" s="273"/>
      <c r="R136" s="273"/>
      <c r="S136" s="273"/>
      <c r="T136" s="273"/>
      <c r="U136" s="273"/>
      <c r="V136" s="273"/>
      <c r="W136" s="273"/>
    </row>
    <row r="137" spans="17:23">
      <c r="Q137" s="273"/>
      <c r="R137" s="273"/>
      <c r="S137" s="273"/>
      <c r="T137" s="273"/>
      <c r="U137" s="273"/>
      <c r="V137" s="273"/>
      <c r="W137" s="273"/>
    </row>
    <row r="138" spans="17:23">
      <c r="Q138" s="273"/>
      <c r="R138" s="273"/>
      <c r="S138" s="273"/>
      <c r="T138" s="273"/>
      <c r="U138" s="273"/>
      <c r="V138" s="273"/>
      <c r="W138" s="273"/>
    </row>
    <row r="139" spans="17:23">
      <c r="Q139" s="273"/>
      <c r="R139" s="273"/>
      <c r="S139" s="273"/>
      <c r="T139" s="273"/>
      <c r="U139" s="273"/>
      <c r="V139" s="273"/>
      <c r="W139" s="273"/>
    </row>
    <row r="140" spans="17:23">
      <c r="Q140" s="273"/>
      <c r="R140" s="273"/>
      <c r="S140" s="273"/>
      <c r="T140" s="273"/>
      <c r="U140" s="273"/>
      <c r="V140" s="273"/>
      <c r="W140" s="273"/>
    </row>
    <row r="141" spans="17:23">
      <c r="Q141" s="273"/>
      <c r="R141" s="273"/>
      <c r="S141" s="273"/>
      <c r="T141" s="273"/>
      <c r="U141" s="273"/>
      <c r="V141" s="273"/>
      <c r="W141" s="273"/>
    </row>
    <row r="142" spans="17:23">
      <c r="Q142" s="273"/>
      <c r="R142" s="273"/>
      <c r="S142" s="273"/>
      <c r="T142" s="273"/>
      <c r="U142" s="273"/>
      <c r="V142" s="273"/>
      <c r="W142" s="273"/>
    </row>
    <row r="143" spans="17:23">
      <c r="Q143" s="273"/>
      <c r="R143" s="273"/>
      <c r="S143" s="273"/>
      <c r="T143" s="273"/>
      <c r="U143" s="273"/>
      <c r="V143" s="273"/>
      <c r="W143" s="273"/>
    </row>
    <row r="144" spans="17:23">
      <c r="Q144" s="273"/>
      <c r="R144" s="273"/>
      <c r="S144" s="273"/>
      <c r="T144" s="273"/>
      <c r="U144" s="273"/>
      <c r="V144" s="273"/>
      <c r="W144" s="273"/>
    </row>
    <row r="145" spans="17:23">
      <c r="Q145" s="273"/>
      <c r="R145" s="273"/>
      <c r="S145" s="273"/>
      <c r="T145" s="273"/>
      <c r="U145" s="273"/>
      <c r="V145" s="273"/>
      <c r="W145" s="273"/>
    </row>
    <row r="146" spans="17:23">
      <c r="Q146" s="273"/>
      <c r="R146" s="273"/>
      <c r="S146" s="273"/>
      <c r="T146" s="273"/>
      <c r="U146" s="273"/>
      <c r="V146" s="273"/>
      <c r="W146" s="273"/>
    </row>
    <row r="147" spans="17:23">
      <c r="Q147" s="273"/>
      <c r="R147" s="273"/>
      <c r="S147" s="273"/>
      <c r="T147" s="273"/>
      <c r="U147" s="273"/>
      <c r="V147" s="273"/>
      <c r="W147" s="273"/>
    </row>
    <row r="148" spans="17:23">
      <c r="Q148" s="273"/>
      <c r="R148" s="273"/>
      <c r="S148" s="273"/>
      <c r="T148" s="273"/>
      <c r="U148" s="273"/>
      <c r="V148" s="273"/>
      <c r="W148" s="273"/>
    </row>
    <row r="149" spans="17:23">
      <c r="Q149" s="273"/>
      <c r="R149" s="273"/>
      <c r="S149" s="273"/>
      <c r="T149" s="273"/>
      <c r="U149" s="273"/>
      <c r="V149" s="273"/>
      <c r="W149" s="273"/>
    </row>
    <row r="150" spans="17:23">
      <c r="Q150" s="273"/>
      <c r="R150" s="273"/>
      <c r="S150" s="273"/>
      <c r="T150" s="273"/>
      <c r="U150" s="273"/>
      <c r="V150" s="273"/>
      <c r="W150" s="273"/>
    </row>
    <row r="151" spans="17:23">
      <c r="Q151" s="273"/>
      <c r="R151" s="273"/>
      <c r="S151" s="273"/>
      <c r="T151" s="273"/>
      <c r="U151" s="273"/>
      <c r="V151" s="273"/>
      <c r="W151" s="273"/>
    </row>
    <row r="152" spans="17:23">
      <c r="Q152" s="273"/>
      <c r="R152" s="273"/>
      <c r="S152" s="273"/>
      <c r="T152" s="273"/>
      <c r="U152" s="273"/>
      <c r="V152" s="273"/>
      <c r="W152" s="273"/>
    </row>
    <row r="153" spans="17:23">
      <c r="Q153" s="273"/>
      <c r="R153" s="273"/>
      <c r="S153" s="273"/>
      <c r="T153" s="273"/>
      <c r="U153" s="273"/>
      <c r="V153" s="273"/>
      <c r="W153" s="273"/>
    </row>
    <row r="154" spans="17:23">
      <c r="Q154" s="273"/>
      <c r="R154" s="273"/>
      <c r="S154" s="273"/>
      <c r="T154" s="273"/>
      <c r="U154" s="273"/>
      <c r="V154" s="273"/>
      <c r="W154" s="273"/>
    </row>
    <row r="155" spans="17:23">
      <c r="Q155" s="273"/>
      <c r="R155" s="273"/>
      <c r="S155" s="273"/>
      <c r="T155" s="273"/>
      <c r="U155" s="273"/>
      <c r="V155" s="273"/>
      <c r="W155" s="273"/>
    </row>
    <row r="156" spans="17:23">
      <c r="Q156" s="273"/>
      <c r="R156" s="273"/>
      <c r="S156" s="273"/>
      <c r="T156" s="273"/>
      <c r="U156" s="273"/>
      <c r="V156" s="273"/>
      <c r="W156" s="273"/>
    </row>
    <row r="157" spans="17:23">
      <c r="Q157" s="273"/>
      <c r="R157" s="273"/>
      <c r="S157" s="273"/>
      <c r="T157" s="273"/>
      <c r="U157" s="273"/>
      <c r="V157" s="273"/>
      <c r="W157" s="273"/>
    </row>
    <row r="158" spans="17:23">
      <c r="Q158" s="273"/>
      <c r="R158" s="273"/>
      <c r="S158" s="273"/>
      <c r="T158" s="273"/>
      <c r="U158" s="273"/>
      <c r="V158" s="273"/>
      <c r="W158" s="273"/>
    </row>
    <row r="159" spans="17:23">
      <c r="Q159" s="273"/>
      <c r="R159" s="273"/>
      <c r="S159" s="273"/>
      <c r="T159" s="273"/>
      <c r="U159" s="273"/>
      <c r="V159" s="273"/>
      <c r="W159" s="273"/>
    </row>
    <row r="160" spans="17:23">
      <c r="Q160" s="273"/>
      <c r="R160" s="273"/>
      <c r="S160" s="273"/>
      <c r="T160" s="273"/>
      <c r="U160" s="273"/>
      <c r="V160" s="273"/>
      <c r="W160" s="273"/>
    </row>
    <row r="161" spans="17:23">
      <c r="Q161" s="273"/>
      <c r="R161" s="273"/>
      <c r="S161" s="273"/>
      <c r="T161" s="273"/>
      <c r="U161" s="273"/>
      <c r="V161" s="273"/>
      <c r="W161" s="273"/>
    </row>
    <row r="162" spans="17:23">
      <c r="Q162" s="273"/>
      <c r="R162" s="273"/>
      <c r="S162" s="273"/>
      <c r="T162" s="273"/>
      <c r="U162" s="273"/>
      <c r="V162" s="273"/>
      <c r="W162" s="273"/>
    </row>
    <row r="163" spans="17:23">
      <c r="Q163" s="273"/>
      <c r="R163" s="273"/>
      <c r="S163" s="273"/>
      <c r="T163" s="273"/>
      <c r="U163" s="273"/>
      <c r="V163" s="273"/>
      <c r="W163" s="273"/>
    </row>
    <row r="164" spans="17:23">
      <c r="Q164" s="273"/>
      <c r="R164" s="273"/>
      <c r="S164" s="273"/>
      <c r="T164" s="273"/>
      <c r="U164" s="273"/>
      <c r="V164" s="273"/>
      <c r="W164" s="273"/>
    </row>
    <row r="165" spans="17:23">
      <c r="Q165" s="273"/>
      <c r="R165" s="273"/>
      <c r="S165" s="273"/>
      <c r="T165" s="273"/>
      <c r="U165" s="273"/>
      <c r="V165" s="273"/>
      <c r="W165" s="273"/>
    </row>
    <row r="166" spans="17:23">
      <c r="Q166" s="273"/>
      <c r="R166" s="273"/>
      <c r="S166" s="273"/>
      <c r="T166" s="273"/>
      <c r="U166" s="273"/>
      <c r="V166" s="273"/>
      <c r="W166" s="273"/>
    </row>
    <row r="167" spans="17:23">
      <c r="Q167" s="273"/>
      <c r="R167" s="273"/>
      <c r="S167" s="273"/>
      <c r="T167" s="273"/>
      <c r="U167" s="273"/>
      <c r="V167" s="273"/>
      <c r="W167" s="273"/>
    </row>
    <row r="168" spans="17:23">
      <c r="Q168" s="273"/>
      <c r="R168" s="273"/>
      <c r="S168" s="273"/>
      <c r="T168" s="273"/>
      <c r="U168" s="273"/>
      <c r="V168" s="273"/>
      <c r="W168" s="273"/>
    </row>
    <row r="169" spans="17:23">
      <c r="Q169" s="273"/>
      <c r="R169" s="273"/>
      <c r="S169" s="273"/>
      <c r="T169" s="273"/>
      <c r="U169" s="273"/>
      <c r="V169" s="273"/>
      <c r="W169" s="273"/>
    </row>
    <row r="170" spans="17:23">
      <c r="Q170" s="273"/>
      <c r="R170" s="273"/>
      <c r="S170" s="273"/>
      <c r="T170" s="273"/>
      <c r="U170" s="273"/>
      <c r="V170" s="273"/>
      <c r="W170" s="273"/>
    </row>
    <row r="171" spans="17:23">
      <c r="Q171" s="273"/>
      <c r="R171" s="273"/>
      <c r="S171" s="273"/>
      <c r="T171" s="273"/>
      <c r="U171" s="273"/>
      <c r="V171" s="273"/>
      <c r="W171" s="273"/>
    </row>
    <row r="172" spans="17:23">
      <c r="Q172" s="273"/>
      <c r="R172" s="273"/>
      <c r="S172" s="273"/>
      <c r="T172" s="273"/>
      <c r="U172" s="273"/>
      <c r="V172" s="273"/>
      <c r="W172" s="273"/>
    </row>
    <row r="173" spans="17:23">
      <c r="Q173" s="273"/>
      <c r="R173" s="273"/>
      <c r="S173" s="273"/>
      <c r="T173" s="273"/>
      <c r="U173" s="273"/>
      <c r="V173" s="273"/>
      <c r="W173" s="273"/>
    </row>
    <row r="174" spans="17:23">
      <c r="Q174" s="273"/>
      <c r="R174" s="273"/>
      <c r="S174" s="273"/>
      <c r="T174" s="273"/>
      <c r="U174" s="273"/>
      <c r="V174" s="273"/>
      <c r="W174" s="273"/>
    </row>
    <row r="175" spans="17:23">
      <c r="Q175" s="273"/>
      <c r="R175" s="273"/>
      <c r="S175" s="273"/>
      <c r="T175" s="273"/>
      <c r="U175" s="273"/>
      <c r="V175" s="273"/>
      <c r="W175" s="273"/>
    </row>
    <row r="176" spans="17:23">
      <c r="Q176" s="273"/>
      <c r="R176" s="273"/>
      <c r="S176" s="273"/>
      <c r="T176" s="273"/>
      <c r="U176" s="273"/>
      <c r="V176" s="273"/>
      <c r="W176" s="273"/>
    </row>
    <row r="177" spans="17:23">
      <c r="Q177" s="273"/>
      <c r="R177" s="273"/>
      <c r="S177" s="273"/>
      <c r="T177" s="273"/>
      <c r="U177" s="273"/>
      <c r="V177" s="273"/>
      <c r="W177" s="273"/>
    </row>
    <row r="178" spans="17:23">
      <c r="Q178" s="273"/>
      <c r="R178" s="273"/>
      <c r="S178" s="273"/>
      <c r="T178" s="273"/>
      <c r="U178" s="273"/>
      <c r="V178" s="273"/>
      <c r="W178" s="273"/>
    </row>
    <row r="179" spans="17:23">
      <c r="Q179" s="273"/>
      <c r="R179" s="273"/>
      <c r="S179" s="273"/>
      <c r="T179" s="273"/>
      <c r="U179" s="273"/>
      <c r="V179" s="273"/>
      <c r="W179" s="273"/>
    </row>
    <row r="180" spans="17:23">
      <c r="Q180" s="273"/>
      <c r="R180" s="273"/>
      <c r="S180" s="273"/>
      <c r="T180" s="273"/>
      <c r="U180" s="273"/>
      <c r="V180" s="273"/>
      <c r="W180" s="273"/>
    </row>
    <row r="181" spans="17:23">
      <c r="Q181" s="273"/>
      <c r="R181" s="273"/>
      <c r="S181" s="273"/>
      <c r="T181" s="273"/>
      <c r="U181" s="273"/>
      <c r="V181" s="273"/>
      <c r="W181" s="273"/>
    </row>
    <row r="182" spans="17:23">
      <c r="Q182" s="273"/>
      <c r="R182" s="273"/>
      <c r="S182" s="273"/>
      <c r="T182" s="273"/>
      <c r="U182" s="273"/>
      <c r="V182" s="273"/>
      <c r="W182" s="273"/>
    </row>
    <row r="183" spans="17:23">
      <c r="Q183" s="273"/>
      <c r="R183" s="273"/>
      <c r="S183" s="273"/>
      <c r="T183" s="273"/>
      <c r="U183" s="273"/>
      <c r="V183" s="273"/>
      <c r="W183" s="273"/>
    </row>
    <row r="184" spans="17:23">
      <c r="Q184" s="273"/>
      <c r="R184" s="273"/>
      <c r="S184" s="273"/>
      <c r="T184" s="273"/>
      <c r="U184" s="273"/>
      <c r="V184" s="273"/>
      <c r="W184" s="273"/>
    </row>
    <row r="185" spans="17:23">
      <c r="Q185" s="273"/>
      <c r="R185" s="273"/>
      <c r="S185" s="273"/>
      <c r="T185" s="273"/>
      <c r="U185" s="273"/>
      <c r="V185" s="273"/>
      <c r="W185" s="273"/>
    </row>
    <row r="186" spans="17:23">
      <c r="Q186" s="273"/>
      <c r="R186" s="273"/>
      <c r="S186" s="273"/>
      <c r="T186" s="273"/>
      <c r="U186" s="273"/>
      <c r="V186" s="273"/>
      <c r="W186" s="273"/>
    </row>
    <row r="187" spans="17:23">
      <c r="Q187" s="273"/>
      <c r="R187" s="273"/>
      <c r="S187" s="273"/>
      <c r="T187" s="273"/>
      <c r="U187" s="273"/>
      <c r="V187" s="273"/>
      <c r="W187" s="273"/>
    </row>
    <row r="188" spans="17:23">
      <c r="Q188" s="273"/>
      <c r="R188" s="273"/>
      <c r="S188" s="273"/>
      <c r="T188" s="273"/>
      <c r="U188" s="273"/>
      <c r="V188" s="273"/>
      <c r="W188" s="273"/>
    </row>
    <row r="189" spans="17:23">
      <c r="Q189" s="273"/>
      <c r="R189" s="273"/>
      <c r="S189" s="273"/>
      <c r="T189" s="273"/>
      <c r="U189" s="273"/>
      <c r="V189" s="273"/>
      <c r="W189" s="273"/>
    </row>
    <row r="190" spans="17:23">
      <c r="Q190" s="273"/>
      <c r="R190" s="273"/>
      <c r="S190" s="273"/>
      <c r="T190" s="273"/>
      <c r="U190" s="273"/>
      <c r="V190" s="273"/>
      <c r="W190" s="273"/>
    </row>
    <row r="191" spans="17:23">
      <c r="Q191" s="273"/>
      <c r="R191" s="273"/>
      <c r="S191" s="273"/>
      <c r="T191" s="273"/>
      <c r="U191" s="273"/>
      <c r="V191" s="273"/>
      <c r="W191" s="273"/>
    </row>
    <row r="192" spans="17:23">
      <c r="Q192" s="273"/>
      <c r="R192" s="273"/>
      <c r="S192" s="273"/>
      <c r="T192" s="273"/>
      <c r="U192" s="273"/>
      <c r="V192" s="273"/>
      <c r="W192" s="273"/>
    </row>
    <row r="193" spans="17:23">
      <c r="Q193" s="273"/>
      <c r="R193" s="273"/>
      <c r="S193" s="273"/>
      <c r="T193" s="273"/>
      <c r="U193" s="273"/>
      <c r="V193" s="273"/>
      <c r="W193" s="273"/>
    </row>
    <row r="194" spans="17:23">
      <c r="Q194" s="273"/>
      <c r="R194" s="273"/>
      <c r="S194" s="273"/>
      <c r="T194" s="273"/>
      <c r="U194" s="273"/>
      <c r="V194" s="273"/>
      <c r="W194" s="273"/>
    </row>
    <row r="195" spans="17:23">
      <c r="Q195" s="273"/>
      <c r="R195" s="273"/>
      <c r="S195" s="273"/>
      <c r="T195" s="273"/>
      <c r="U195" s="273"/>
      <c r="V195" s="273"/>
      <c r="W195" s="273"/>
    </row>
    <row r="196" spans="17:23">
      <c r="Q196" s="273"/>
      <c r="R196" s="273"/>
      <c r="S196" s="273"/>
      <c r="T196" s="273"/>
      <c r="U196" s="273"/>
      <c r="V196" s="273"/>
      <c r="W196" s="273"/>
    </row>
    <row r="197" spans="17:23">
      <c r="Q197" s="273"/>
      <c r="R197" s="273"/>
      <c r="S197" s="273"/>
      <c r="T197" s="273"/>
      <c r="U197" s="273"/>
      <c r="V197" s="273"/>
      <c r="W197" s="273"/>
    </row>
    <row r="198" spans="17:23">
      <c r="Q198" s="273"/>
      <c r="R198" s="273"/>
      <c r="S198" s="273"/>
      <c r="T198" s="273"/>
      <c r="U198" s="273"/>
      <c r="V198" s="273"/>
      <c r="W198" s="273"/>
    </row>
    <row r="199" spans="17:23">
      <c r="Q199" s="273"/>
      <c r="R199" s="273"/>
      <c r="S199" s="273"/>
      <c r="T199" s="273"/>
      <c r="U199" s="273"/>
      <c r="V199" s="273"/>
      <c r="W199" s="273"/>
    </row>
    <row r="200" spans="17:23">
      <c r="Q200" s="273"/>
      <c r="R200" s="273"/>
      <c r="S200" s="273"/>
      <c r="T200" s="273"/>
      <c r="U200" s="273"/>
      <c r="V200" s="273"/>
      <c r="W200" s="273"/>
    </row>
    <row r="201" spans="17:23">
      <c r="Q201" s="273"/>
      <c r="R201" s="273"/>
      <c r="S201" s="273"/>
      <c r="T201" s="273"/>
      <c r="U201" s="273"/>
      <c r="V201" s="273"/>
      <c r="W201" s="273"/>
    </row>
    <row r="202" spans="17:23">
      <c r="Q202" s="273"/>
      <c r="R202" s="273"/>
      <c r="S202" s="273"/>
      <c r="T202" s="273"/>
      <c r="U202" s="273"/>
      <c r="V202" s="273"/>
      <c r="W202" s="273"/>
    </row>
    <row r="203" spans="17:23">
      <c r="Q203" s="273"/>
      <c r="R203" s="273"/>
      <c r="S203" s="273"/>
      <c r="T203" s="273"/>
      <c r="U203" s="273"/>
      <c r="V203" s="273"/>
      <c r="W203" s="273"/>
    </row>
    <row r="204" spans="17:23">
      <c r="Q204" s="273"/>
      <c r="R204" s="273"/>
      <c r="S204" s="273"/>
      <c r="T204" s="273"/>
      <c r="U204" s="273"/>
      <c r="V204" s="273"/>
      <c r="W204" s="273"/>
    </row>
    <row r="205" spans="17:23">
      <c r="Q205" s="273"/>
      <c r="R205" s="273"/>
      <c r="S205" s="273"/>
      <c r="T205" s="273"/>
      <c r="U205" s="273"/>
      <c r="V205" s="273"/>
      <c r="W205" s="273"/>
    </row>
    <row r="206" spans="17:23">
      <c r="Q206" s="273"/>
      <c r="R206" s="273"/>
      <c r="S206" s="273"/>
      <c r="T206" s="273"/>
      <c r="U206" s="273"/>
      <c r="V206" s="273"/>
      <c r="W206" s="273"/>
    </row>
    <row r="207" spans="17:23">
      <c r="Q207" s="273"/>
      <c r="R207" s="273"/>
      <c r="S207" s="273"/>
      <c r="T207" s="273"/>
      <c r="U207" s="273"/>
      <c r="V207" s="273"/>
      <c r="W207" s="273"/>
    </row>
    <row r="208" spans="17:23">
      <c r="Q208" s="273"/>
      <c r="R208" s="273"/>
      <c r="S208" s="273"/>
      <c r="T208" s="273"/>
      <c r="U208" s="273"/>
      <c r="V208" s="273"/>
      <c r="W208" s="273"/>
    </row>
    <row r="209" spans="17:23">
      <c r="Q209" s="273"/>
      <c r="R209" s="273"/>
      <c r="S209" s="273"/>
      <c r="T209" s="273"/>
      <c r="U209" s="273"/>
      <c r="V209" s="273"/>
      <c r="W209" s="273"/>
    </row>
    <row r="210" spans="17:23">
      <c r="Q210" s="273"/>
      <c r="R210" s="273"/>
      <c r="S210" s="273"/>
      <c r="T210" s="273"/>
      <c r="U210" s="273"/>
      <c r="V210" s="273"/>
      <c r="W210" s="273"/>
    </row>
    <row r="211" spans="17:23">
      <c r="Q211" s="273"/>
      <c r="R211" s="273"/>
      <c r="S211" s="273"/>
      <c r="T211" s="273"/>
      <c r="U211" s="273"/>
      <c r="V211" s="273"/>
      <c r="W211" s="273"/>
    </row>
    <row r="212" spans="17:23">
      <c r="Q212" s="273"/>
      <c r="R212" s="273"/>
      <c r="S212" s="273"/>
      <c r="T212" s="273"/>
      <c r="U212" s="273"/>
      <c r="V212" s="273"/>
      <c r="W212" s="273"/>
    </row>
    <row r="213" spans="17:23">
      <c r="Q213" s="273"/>
      <c r="R213" s="273"/>
      <c r="S213" s="273"/>
      <c r="T213" s="273"/>
      <c r="U213" s="273"/>
      <c r="V213" s="273"/>
      <c r="W213" s="273"/>
    </row>
    <row r="214" spans="17:23">
      <c r="Q214" s="273"/>
      <c r="R214" s="273"/>
      <c r="S214" s="273"/>
      <c r="T214" s="273"/>
      <c r="U214" s="273"/>
      <c r="V214" s="273"/>
      <c r="W214" s="273"/>
    </row>
    <row r="215" spans="17:23">
      <c r="Q215" s="273"/>
      <c r="R215" s="273"/>
      <c r="S215" s="273"/>
      <c r="T215" s="273"/>
      <c r="U215" s="273"/>
      <c r="V215" s="273"/>
      <c r="W215" s="273"/>
    </row>
    <row r="216" spans="17:23">
      <c r="Q216" s="273"/>
      <c r="R216" s="273"/>
      <c r="S216" s="273"/>
      <c r="T216" s="273"/>
      <c r="U216" s="273"/>
      <c r="V216" s="273"/>
      <c r="W216" s="273"/>
    </row>
    <row r="217" spans="17:23">
      <c r="Q217" s="273"/>
      <c r="R217" s="273"/>
      <c r="S217" s="273"/>
      <c r="T217" s="273"/>
      <c r="U217" s="273"/>
      <c r="V217" s="273"/>
      <c r="W217" s="273"/>
    </row>
    <row r="218" spans="17:23">
      <c r="Q218" s="273"/>
      <c r="R218" s="273"/>
      <c r="S218" s="273"/>
      <c r="T218" s="273"/>
      <c r="U218" s="273"/>
      <c r="V218" s="273"/>
      <c r="W218" s="273"/>
    </row>
    <row r="219" spans="17:23">
      <c r="Q219" s="273"/>
      <c r="R219" s="273"/>
      <c r="S219" s="273"/>
      <c r="T219" s="273"/>
      <c r="U219" s="273"/>
      <c r="V219" s="273"/>
      <c r="W219" s="273"/>
    </row>
    <row r="220" spans="17:23">
      <c r="Q220" s="273"/>
      <c r="R220" s="273"/>
      <c r="S220" s="273"/>
      <c r="T220" s="273"/>
      <c r="U220" s="273"/>
      <c r="V220" s="273"/>
      <c r="W220" s="273"/>
    </row>
    <row r="221" spans="17:23">
      <c r="Q221" s="273"/>
      <c r="R221" s="273"/>
      <c r="S221" s="273"/>
      <c r="T221" s="273"/>
      <c r="U221" s="273"/>
      <c r="V221" s="273"/>
      <c r="W221" s="273"/>
    </row>
    <row r="222" spans="17:23">
      <c r="Q222" s="273"/>
      <c r="R222" s="273"/>
      <c r="S222" s="273"/>
      <c r="T222" s="273"/>
      <c r="U222" s="273"/>
      <c r="V222" s="273"/>
      <c r="W222" s="273"/>
    </row>
    <row r="223" spans="17:23">
      <c r="Q223" s="273"/>
      <c r="R223" s="273"/>
      <c r="S223" s="273"/>
      <c r="T223" s="273"/>
      <c r="U223" s="273"/>
      <c r="V223" s="273"/>
      <c r="W223" s="273"/>
    </row>
    <row r="224" spans="17:23">
      <c r="Q224" s="273"/>
      <c r="R224" s="273"/>
      <c r="S224" s="273"/>
      <c r="T224" s="273"/>
      <c r="U224" s="273"/>
      <c r="V224" s="273"/>
      <c r="W224" s="273"/>
    </row>
    <row r="225" spans="17:23">
      <c r="Q225" s="273"/>
      <c r="R225" s="273"/>
      <c r="S225" s="273"/>
      <c r="T225" s="273"/>
      <c r="U225" s="273"/>
      <c r="V225" s="273"/>
      <c r="W225" s="273"/>
    </row>
    <row r="226" spans="17:23">
      <c r="Q226" s="273"/>
      <c r="R226" s="273"/>
      <c r="S226" s="273"/>
      <c r="T226" s="273"/>
      <c r="U226" s="273"/>
      <c r="V226" s="273"/>
      <c r="W226" s="273"/>
    </row>
    <row r="227" spans="17:23">
      <c r="Q227" s="273"/>
      <c r="R227" s="273"/>
      <c r="S227" s="273"/>
      <c r="T227" s="273"/>
      <c r="U227" s="273"/>
      <c r="V227" s="273"/>
      <c r="W227" s="273"/>
    </row>
    <row r="228" spans="17:23">
      <c r="Q228" s="273"/>
      <c r="R228" s="273"/>
      <c r="S228" s="273"/>
      <c r="T228" s="273"/>
      <c r="U228" s="273"/>
      <c r="V228" s="273"/>
      <c r="W228" s="273"/>
    </row>
    <row r="229" spans="17:23">
      <c r="Q229" s="273"/>
      <c r="R229" s="273"/>
      <c r="S229" s="273"/>
      <c r="T229" s="273"/>
      <c r="U229" s="273"/>
      <c r="V229" s="273"/>
      <c r="W229" s="273"/>
    </row>
    <row r="230" spans="17:23">
      <c r="Q230" s="273"/>
      <c r="R230" s="273"/>
      <c r="S230" s="273"/>
      <c r="T230" s="273"/>
      <c r="U230" s="273"/>
      <c r="V230" s="273"/>
      <c r="W230" s="273"/>
    </row>
    <row r="231" spans="17:23">
      <c r="Q231" s="273"/>
      <c r="R231" s="273"/>
      <c r="S231" s="273"/>
      <c r="T231" s="273"/>
      <c r="U231" s="273"/>
      <c r="V231" s="273"/>
      <c r="W231" s="273"/>
    </row>
    <row r="232" spans="17:23">
      <c r="Q232" s="273"/>
      <c r="R232" s="273"/>
      <c r="S232" s="273"/>
      <c r="T232" s="273"/>
      <c r="U232" s="273"/>
      <c r="V232" s="273"/>
      <c r="W232" s="273"/>
    </row>
    <row r="233" spans="17:23">
      <c r="Q233" s="273"/>
      <c r="R233" s="273"/>
      <c r="S233" s="273"/>
      <c r="T233" s="273"/>
      <c r="U233" s="273"/>
      <c r="V233" s="273"/>
      <c r="W233" s="273"/>
    </row>
    <row r="234" spans="17:23">
      <c r="Q234" s="273"/>
      <c r="R234" s="273"/>
      <c r="S234" s="273"/>
      <c r="T234" s="273"/>
      <c r="U234" s="273"/>
      <c r="V234" s="273"/>
      <c r="W234" s="273"/>
    </row>
    <row r="235" spans="17:23">
      <c r="Q235" s="273"/>
      <c r="R235" s="273"/>
      <c r="S235" s="273"/>
      <c r="T235" s="273"/>
      <c r="U235" s="273"/>
      <c r="V235" s="273"/>
      <c r="W235" s="273"/>
    </row>
    <row r="236" spans="17:23">
      <c r="Q236" s="273"/>
      <c r="R236" s="273"/>
      <c r="S236" s="273"/>
      <c r="T236" s="273"/>
      <c r="U236" s="273"/>
      <c r="V236" s="273"/>
      <c r="W236" s="273"/>
    </row>
    <row r="237" spans="17:23">
      <c r="Q237" s="273"/>
      <c r="R237" s="273"/>
      <c r="S237" s="273"/>
      <c r="T237" s="273"/>
      <c r="U237" s="273"/>
      <c r="V237" s="273"/>
      <c r="W237" s="273"/>
    </row>
    <row r="238" spans="17:23">
      <c r="Q238" s="273"/>
      <c r="R238" s="273"/>
      <c r="S238" s="273"/>
      <c r="T238" s="273"/>
      <c r="U238" s="273"/>
      <c r="V238" s="273"/>
      <c r="W238" s="273"/>
    </row>
    <row r="239" spans="17:23">
      <c r="Q239" s="273"/>
      <c r="R239" s="273"/>
      <c r="S239" s="273"/>
      <c r="T239" s="273"/>
      <c r="U239" s="273"/>
      <c r="V239" s="273"/>
      <c r="W239" s="273"/>
    </row>
    <row r="240" spans="17:23">
      <c r="Q240" s="273"/>
      <c r="R240" s="273"/>
      <c r="S240" s="273"/>
      <c r="T240" s="273"/>
      <c r="U240" s="273"/>
      <c r="V240" s="273"/>
      <c r="W240" s="273"/>
    </row>
    <row r="241" spans="17:23">
      <c r="Q241" s="273"/>
      <c r="R241" s="273"/>
      <c r="S241" s="273"/>
      <c r="T241" s="273"/>
      <c r="U241" s="273"/>
      <c r="V241" s="273"/>
      <c r="W241" s="273"/>
    </row>
    <row r="242" spans="17:23">
      <c r="Q242" s="273"/>
      <c r="R242" s="273"/>
      <c r="S242" s="273"/>
      <c r="T242" s="273"/>
      <c r="U242" s="273"/>
      <c r="V242" s="273"/>
      <c r="W242" s="273"/>
    </row>
    <row r="243" spans="17:23">
      <c r="Q243" s="273"/>
      <c r="R243" s="273"/>
      <c r="S243" s="273"/>
      <c r="T243" s="273"/>
      <c r="U243" s="273"/>
      <c r="V243" s="273"/>
      <c r="W243" s="273"/>
    </row>
    <row r="244" spans="17:23">
      <c r="Q244" s="273"/>
      <c r="R244" s="273"/>
      <c r="S244" s="273"/>
      <c r="T244" s="273"/>
      <c r="U244" s="273"/>
      <c r="V244" s="273"/>
      <c r="W244" s="273"/>
    </row>
    <row r="245" spans="17:23">
      <c r="Q245" s="273"/>
      <c r="R245" s="273"/>
      <c r="S245" s="273"/>
      <c r="T245" s="273"/>
      <c r="U245" s="273"/>
      <c r="V245" s="273"/>
      <c r="W245" s="273"/>
    </row>
    <row r="246" spans="17:23">
      <c r="Q246" s="273"/>
      <c r="R246" s="273"/>
      <c r="S246" s="273"/>
      <c r="T246" s="273"/>
      <c r="U246" s="273"/>
      <c r="V246" s="273"/>
      <c r="W246" s="273"/>
    </row>
    <row r="247" spans="17:23">
      <c r="Q247" s="273"/>
      <c r="R247" s="273"/>
      <c r="S247" s="273"/>
      <c r="T247" s="273"/>
      <c r="U247" s="273"/>
      <c r="V247" s="273"/>
      <c r="W247" s="273"/>
    </row>
    <row r="248" spans="17:23">
      <c r="Q248" s="273"/>
      <c r="R248" s="273"/>
      <c r="S248" s="273"/>
      <c r="T248" s="273"/>
      <c r="U248" s="273"/>
      <c r="V248" s="273"/>
      <c r="W248" s="273"/>
    </row>
    <row r="249" spans="17:23">
      <c r="Q249" s="273"/>
      <c r="R249" s="273"/>
      <c r="S249" s="273"/>
      <c r="T249" s="273"/>
      <c r="U249" s="273"/>
      <c r="V249" s="273"/>
      <c r="W249" s="273"/>
    </row>
    <row r="250" spans="17:23">
      <c r="Q250" s="273"/>
      <c r="R250" s="273"/>
      <c r="S250" s="273"/>
      <c r="T250" s="273"/>
      <c r="U250" s="273"/>
      <c r="V250" s="273"/>
      <c r="W250" s="273"/>
    </row>
    <row r="251" spans="17:23">
      <c r="Q251" s="273"/>
      <c r="R251" s="273"/>
      <c r="S251" s="273"/>
      <c r="T251" s="273"/>
      <c r="U251" s="273"/>
      <c r="V251" s="273"/>
      <c r="W251" s="273"/>
    </row>
    <row r="252" spans="17:23">
      <c r="Q252" s="273"/>
      <c r="R252" s="273"/>
      <c r="S252" s="273"/>
      <c r="T252" s="273"/>
      <c r="U252" s="273"/>
      <c r="V252" s="273"/>
      <c r="W252" s="273"/>
    </row>
    <row r="253" spans="17:23">
      <c r="Q253" s="273"/>
      <c r="R253" s="273"/>
      <c r="S253" s="273"/>
      <c r="T253" s="273"/>
      <c r="U253" s="273"/>
      <c r="V253" s="273"/>
      <c r="W253" s="273"/>
    </row>
    <row r="254" spans="17:23">
      <c r="Q254" s="273"/>
      <c r="R254" s="273"/>
      <c r="S254" s="273"/>
      <c r="T254" s="273"/>
      <c r="U254" s="273"/>
      <c r="V254" s="273"/>
      <c r="W254" s="273"/>
    </row>
    <row r="255" spans="17:23">
      <c r="Q255" s="273"/>
      <c r="R255" s="273"/>
      <c r="S255" s="273"/>
      <c r="T255" s="273"/>
      <c r="U255" s="273"/>
      <c r="V255" s="273"/>
      <c r="W255" s="273"/>
    </row>
    <row r="256" spans="17:23">
      <c r="Q256" s="273"/>
      <c r="R256" s="273"/>
      <c r="S256" s="273"/>
      <c r="T256" s="273"/>
      <c r="U256" s="273"/>
      <c r="V256" s="273"/>
      <c r="W256" s="273"/>
    </row>
    <row r="257" spans="17:23">
      <c r="Q257" s="273"/>
      <c r="R257" s="273"/>
      <c r="S257" s="273"/>
      <c r="T257" s="273"/>
      <c r="U257" s="273"/>
      <c r="V257" s="273"/>
      <c r="W257" s="273"/>
    </row>
    <row r="258" spans="17:23">
      <c r="Q258" s="273"/>
      <c r="R258" s="273"/>
      <c r="S258" s="273"/>
      <c r="T258" s="273"/>
      <c r="U258" s="273"/>
      <c r="V258" s="273"/>
      <c r="W258" s="273"/>
    </row>
    <row r="259" spans="17:23">
      <c r="Q259" s="273"/>
      <c r="R259" s="273"/>
      <c r="S259" s="273"/>
      <c r="T259" s="273"/>
      <c r="U259" s="273"/>
      <c r="V259" s="273"/>
      <c r="W259" s="273"/>
    </row>
    <row r="260" spans="17:23">
      <c r="Q260" s="273"/>
      <c r="R260" s="273"/>
      <c r="S260" s="273"/>
      <c r="T260" s="273"/>
      <c r="U260" s="273"/>
      <c r="V260" s="273"/>
      <c r="W260" s="273"/>
    </row>
    <row r="261" spans="17:23">
      <c r="Q261" s="273"/>
      <c r="R261" s="273"/>
      <c r="S261" s="273"/>
      <c r="T261" s="273"/>
      <c r="U261" s="273"/>
      <c r="V261" s="273"/>
      <c r="W261" s="273"/>
    </row>
    <row r="262" spans="17:23">
      <c r="Q262" s="273"/>
      <c r="R262" s="273"/>
      <c r="S262" s="273"/>
      <c r="T262" s="273"/>
      <c r="U262" s="273"/>
      <c r="V262" s="273"/>
      <c r="W262" s="273"/>
    </row>
    <row r="263" spans="17:23">
      <c r="Q263" s="273"/>
      <c r="R263" s="273"/>
      <c r="S263" s="273"/>
      <c r="T263" s="273"/>
      <c r="U263" s="273"/>
      <c r="V263" s="273"/>
      <c r="W263" s="273"/>
    </row>
    <row r="264" spans="17:23">
      <c r="Q264" s="273"/>
      <c r="R264" s="273"/>
      <c r="S264" s="273"/>
      <c r="T264" s="273"/>
      <c r="U264" s="273"/>
      <c r="V264" s="273"/>
      <c r="W264" s="273"/>
    </row>
    <row r="265" spans="17:23">
      <c r="Q265" s="273"/>
      <c r="R265" s="273"/>
      <c r="S265" s="273"/>
      <c r="T265" s="273"/>
      <c r="U265" s="273"/>
      <c r="V265" s="273"/>
      <c r="W265" s="273"/>
    </row>
    <row r="266" spans="17:23">
      <c r="Q266" s="273"/>
      <c r="R266" s="273"/>
      <c r="S266" s="273"/>
      <c r="T266" s="273"/>
      <c r="U266" s="273"/>
      <c r="V266" s="273"/>
      <c r="W266" s="273"/>
    </row>
    <row r="267" spans="17:23">
      <c r="Q267" s="273"/>
      <c r="R267" s="273"/>
      <c r="S267" s="273"/>
      <c r="T267" s="273"/>
      <c r="U267" s="273"/>
      <c r="V267" s="273"/>
      <c r="W267" s="273"/>
    </row>
    <row r="268" spans="17:23">
      <c r="Q268" s="273"/>
      <c r="R268" s="273"/>
      <c r="S268" s="273"/>
      <c r="T268" s="273"/>
      <c r="U268" s="273"/>
      <c r="V268" s="273"/>
      <c r="W268" s="273"/>
    </row>
    <row r="269" spans="17:23">
      <c r="Q269" s="273"/>
      <c r="R269" s="273"/>
      <c r="S269" s="273"/>
      <c r="T269" s="273"/>
      <c r="U269" s="273"/>
      <c r="V269" s="273"/>
      <c r="W269" s="273"/>
    </row>
    <row r="270" spans="17:23">
      <c r="Q270" s="273"/>
      <c r="R270" s="273"/>
      <c r="S270" s="273"/>
      <c r="T270" s="273"/>
      <c r="U270" s="273"/>
      <c r="V270" s="273"/>
      <c r="W270" s="273"/>
    </row>
    <row r="271" spans="17:23">
      <c r="Q271" s="273"/>
      <c r="R271" s="273"/>
      <c r="S271" s="273"/>
      <c r="T271" s="273"/>
      <c r="U271" s="273"/>
      <c r="V271" s="273"/>
      <c r="W271" s="273"/>
    </row>
    <row r="272" spans="17:23">
      <c r="Q272" s="273"/>
      <c r="R272" s="273"/>
      <c r="S272" s="273"/>
      <c r="T272" s="273"/>
      <c r="U272" s="273"/>
      <c r="V272" s="273"/>
      <c r="W272" s="273"/>
    </row>
    <row r="273" spans="17:23">
      <c r="Q273" s="273"/>
      <c r="R273" s="273"/>
      <c r="S273" s="273"/>
      <c r="T273" s="273"/>
      <c r="U273" s="273"/>
      <c r="V273" s="273"/>
      <c r="W273" s="273"/>
    </row>
    <row r="274" spans="17:23">
      <c r="Q274" s="273"/>
      <c r="R274" s="273"/>
      <c r="S274" s="273"/>
      <c r="T274" s="273"/>
      <c r="U274" s="273"/>
      <c r="V274" s="273"/>
      <c r="W274" s="273"/>
    </row>
    <row r="275" spans="17:23">
      <c r="Q275" s="273"/>
      <c r="R275" s="273"/>
      <c r="S275" s="273"/>
      <c r="T275" s="273"/>
      <c r="U275" s="273"/>
      <c r="V275" s="273"/>
      <c r="W275" s="273"/>
    </row>
    <row r="276" spans="17:23">
      <c r="Q276" s="273"/>
      <c r="R276" s="273"/>
      <c r="S276" s="273"/>
      <c r="T276" s="273"/>
      <c r="U276" s="273"/>
      <c r="V276" s="273"/>
      <c r="W276" s="273"/>
    </row>
    <row r="277" spans="17:23">
      <c r="Q277" s="273"/>
      <c r="R277" s="273"/>
      <c r="S277" s="273"/>
      <c r="T277" s="273"/>
      <c r="U277" s="273"/>
      <c r="V277" s="273"/>
      <c r="W277" s="273"/>
    </row>
    <row r="278" spans="17:23">
      <c r="Q278" s="273"/>
      <c r="R278" s="273"/>
      <c r="S278" s="273"/>
      <c r="T278" s="273"/>
      <c r="U278" s="273"/>
      <c r="V278" s="273"/>
      <c r="W278" s="273"/>
    </row>
    <row r="279" spans="17:23">
      <c r="Q279" s="273"/>
      <c r="R279" s="273"/>
      <c r="S279" s="273"/>
      <c r="T279" s="273"/>
      <c r="U279" s="273"/>
      <c r="V279" s="273"/>
      <c r="W279" s="273"/>
    </row>
    <row r="280" spans="17:23">
      <c r="Q280" s="273"/>
      <c r="R280" s="273"/>
      <c r="S280" s="273"/>
      <c r="T280" s="273"/>
      <c r="U280" s="273"/>
      <c r="V280" s="273"/>
      <c r="W280" s="273"/>
    </row>
    <row r="281" spans="17:23">
      <c r="Q281" s="273"/>
      <c r="R281" s="273"/>
      <c r="S281" s="273"/>
      <c r="T281" s="273"/>
      <c r="U281" s="273"/>
      <c r="V281" s="273"/>
      <c r="W281" s="273"/>
    </row>
    <row r="282" spans="17:23">
      <c r="Q282" s="273"/>
      <c r="R282" s="273"/>
      <c r="S282" s="273"/>
      <c r="T282" s="273"/>
      <c r="U282" s="273"/>
      <c r="V282" s="273"/>
      <c r="W282" s="273"/>
    </row>
    <row r="283" spans="17:23">
      <c r="Q283" s="273"/>
      <c r="R283" s="273"/>
      <c r="S283" s="273"/>
      <c r="T283" s="273"/>
      <c r="U283" s="273"/>
      <c r="V283" s="273"/>
      <c r="W283" s="273"/>
    </row>
    <row r="284" spans="17:23">
      <c r="Q284" s="273"/>
      <c r="R284" s="273"/>
      <c r="S284" s="273"/>
      <c r="T284" s="273"/>
      <c r="U284" s="273"/>
      <c r="V284" s="273"/>
      <c r="W284" s="273"/>
    </row>
    <row r="285" spans="17:23">
      <c r="Q285" s="273"/>
      <c r="R285" s="273"/>
      <c r="S285" s="273"/>
      <c r="T285" s="273"/>
      <c r="U285" s="273"/>
      <c r="V285" s="273"/>
      <c r="W285" s="273"/>
    </row>
    <row r="286" spans="17:23">
      <c r="Q286" s="273"/>
      <c r="R286" s="273"/>
      <c r="S286" s="273"/>
      <c r="T286" s="273"/>
      <c r="U286" s="273"/>
      <c r="V286" s="273"/>
      <c r="W286" s="273"/>
    </row>
    <row r="287" spans="17:23">
      <c r="Q287" s="273"/>
      <c r="R287" s="273"/>
      <c r="S287" s="273"/>
      <c r="T287" s="273"/>
      <c r="U287" s="273"/>
      <c r="V287" s="273"/>
      <c r="W287" s="273"/>
    </row>
    <row r="288" spans="17:23">
      <c r="Q288" s="273"/>
      <c r="R288" s="273"/>
      <c r="S288" s="273"/>
      <c r="T288" s="273"/>
      <c r="U288" s="273"/>
      <c r="V288" s="273"/>
      <c r="W288" s="273"/>
    </row>
    <row r="289" spans="17:23">
      <c r="Q289" s="273"/>
      <c r="R289" s="273"/>
      <c r="S289" s="273"/>
      <c r="T289" s="273"/>
      <c r="U289" s="273"/>
      <c r="V289" s="273"/>
      <c r="W289" s="273"/>
    </row>
    <row r="290" spans="17:23">
      <c r="Q290" s="273"/>
      <c r="R290" s="273"/>
      <c r="S290" s="273"/>
      <c r="T290" s="273"/>
      <c r="U290" s="273"/>
      <c r="V290" s="273"/>
      <c r="W290" s="273"/>
    </row>
    <row r="291" spans="17:23">
      <c r="Q291" s="273"/>
      <c r="R291" s="273"/>
      <c r="S291" s="273"/>
      <c r="T291" s="273"/>
      <c r="U291" s="273"/>
      <c r="V291" s="273"/>
      <c r="W291" s="273"/>
    </row>
    <row r="292" spans="17:23">
      <c r="Q292" s="273"/>
      <c r="R292" s="273"/>
      <c r="S292" s="273"/>
      <c r="T292" s="273"/>
      <c r="U292" s="273"/>
      <c r="V292" s="273"/>
      <c r="W292" s="273"/>
    </row>
    <row r="293" spans="17:23">
      <c r="Q293" s="273"/>
      <c r="R293" s="273"/>
      <c r="S293" s="273"/>
      <c r="T293" s="273"/>
      <c r="U293" s="273"/>
      <c r="V293" s="273"/>
      <c r="W293" s="273"/>
    </row>
    <row r="294" spans="17:23">
      <c r="Q294" s="273"/>
      <c r="R294" s="273"/>
      <c r="S294" s="273"/>
      <c r="T294" s="273"/>
      <c r="U294" s="273"/>
      <c r="V294" s="273"/>
      <c r="W294" s="273"/>
    </row>
    <row r="295" spans="17:23">
      <c r="Q295" s="273"/>
      <c r="R295" s="273"/>
      <c r="S295" s="273"/>
      <c r="T295" s="273"/>
      <c r="U295" s="273"/>
      <c r="V295" s="273"/>
      <c r="W295" s="273"/>
    </row>
    <row r="296" spans="17:23">
      <c r="Q296" s="273"/>
      <c r="R296" s="273"/>
      <c r="S296" s="273"/>
      <c r="T296" s="273"/>
      <c r="U296" s="273"/>
      <c r="V296" s="273"/>
      <c r="W296" s="273"/>
    </row>
    <row r="297" spans="17:23">
      <c r="Q297" s="273"/>
      <c r="R297" s="273"/>
      <c r="S297" s="273"/>
      <c r="T297" s="273"/>
      <c r="U297" s="273"/>
      <c r="V297" s="273"/>
      <c r="W297" s="273"/>
    </row>
    <row r="298" spans="17:23">
      <c r="Q298" s="273"/>
      <c r="R298" s="273"/>
      <c r="S298" s="273"/>
      <c r="T298" s="273"/>
      <c r="U298" s="273"/>
      <c r="V298" s="273"/>
      <c r="W298" s="273"/>
    </row>
    <row r="299" spans="17:23">
      <c r="Q299" s="273"/>
      <c r="R299" s="273"/>
      <c r="S299" s="273"/>
      <c r="T299" s="273"/>
      <c r="U299" s="273"/>
      <c r="V299" s="273"/>
      <c r="W299" s="273"/>
    </row>
    <row r="300" spans="17:23">
      <c r="Q300" s="273"/>
      <c r="R300" s="273"/>
      <c r="S300" s="273"/>
      <c r="T300" s="273"/>
      <c r="U300" s="273"/>
      <c r="V300" s="273"/>
      <c r="W300" s="273"/>
    </row>
    <row r="301" spans="17:23">
      <c r="Q301" s="273"/>
      <c r="R301" s="273"/>
      <c r="S301" s="273"/>
      <c r="T301" s="273"/>
      <c r="U301" s="273"/>
      <c r="V301" s="273"/>
      <c r="W301" s="273"/>
    </row>
    <row r="302" spans="17:23">
      <c r="Q302" s="273"/>
      <c r="R302" s="273"/>
      <c r="S302" s="273"/>
      <c r="T302" s="273"/>
      <c r="U302" s="273"/>
      <c r="V302" s="273"/>
      <c r="W302" s="273"/>
    </row>
    <row r="303" spans="17:23">
      <c r="Q303" s="273"/>
      <c r="R303" s="273"/>
      <c r="S303" s="273"/>
      <c r="T303" s="273"/>
      <c r="U303" s="273"/>
      <c r="V303" s="273"/>
      <c r="W303" s="273"/>
    </row>
    <row r="304" spans="17:23">
      <c r="Q304" s="273"/>
      <c r="R304" s="273"/>
      <c r="S304" s="273"/>
      <c r="T304" s="273"/>
      <c r="U304" s="273"/>
      <c r="V304" s="273"/>
      <c r="W304" s="273"/>
    </row>
    <row r="305" spans="17:23">
      <c r="Q305" s="273"/>
      <c r="R305" s="273"/>
      <c r="S305" s="273"/>
      <c r="T305" s="273"/>
      <c r="U305" s="273"/>
      <c r="V305" s="273"/>
      <c r="W305" s="273"/>
    </row>
    <row r="306" spans="17:23">
      <c r="Q306" s="273"/>
      <c r="R306" s="273"/>
      <c r="S306" s="273"/>
      <c r="T306" s="273"/>
      <c r="U306" s="273"/>
      <c r="V306" s="273"/>
      <c r="W306" s="273"/>
    </row>
    <row r="307" spans="17:23">
      <c r="Q307" s="273"/>
      <c r="R307" s="273"/>
      <c r="S307" s="273"/>
      <c r="T307" s="273"/>
      <c r="U307" s="273"/>
      <c r="V307" s="273"/>
      <c r="W307" s="273"/>
    </row>
    <row r="308" spans="17:23">
      <c r="Q308" s="273"/>
      <c r="R308" s="273"/>
      <c r="S308" s="273"/>
      <c r="T308" s="273"/>
      <c r="U308" s="273"/>
      <c r="V308" s="273"/>
      <c r="W308" s="273"/>
    </row>
    <row r="309" spans="17:23">
      <c r="Q309" s="273"/>
      <c r="R309" s="273"/>
      <c r="S309" s="273"/>
      <c r="T309" s="273"/>
      <c r="U309" s="273"/>
      <c r="V309" s="273"/>
      <c r="W309" s="273"/>
    </row>
    <row r="310" spans="17:23">
      <c r="Q310" s="273"/>
      <c r="R310" s="273"/>
      <c r="S310" s="273"/>
      <c r="T310" s="273"/>
      <c r="U310" s="273"/>
      <c r="V310" s="273"/>
      <c r="W310" s="273"/>
    </row>
    <row r="311" spans="17:23">
      <c r="Q311" s="273"/>
      <c r="R311" s="273"/>
      <c r="S311" s="273"/>
      <c r="T311" s="273"/>
      <c r="U311" s="273"/>
      <c r="V311" s="273"/>
      <c r="W311" s="273"/>
    </row>
    <row r="312" spans="17:23">
      <c r="Q312" s="273"/>
      <c r="R312" s="273"/>
      <c r="S312" s="273"/>
      <c r="T312" s="273"/>
      <c r="U312" s="273"/>
      <c r="V312" s="273"/>
      <c r="W312" s="273"/>
    </row>
    <row r="313" spans="17:23">
      <c r="Q313" s="273"/>
      <c r="R313" s="273"/>
      <c r="S313" s="273"/>
      <c r="T313" s="273"/>
      <c r="U313" s="273"/>
      <c r="V313" s="273"/>
      <c r="W313" s="273"/>
    </row>
    <row r="314" spans="17:23">
      <c r="Q314" s="273"/>
      <c r="R314" s="273"/>
      <c r="S314" s="273"/>
      <c r="T314" s="273"/>
      <c r="U314" s="273"/>
      <c r="V314" s="273"/>
      <c r="W314" s="273"/>
    </row>
    <row r="315" spans="17:23">
      <c r="Q315" s="273"/>
      <c r="R315" s="273"/>
      <c r="S315" s="273"/>
      <c r="T315" s="273"/>
      <c r="U315" s="273"/>
      <c r="V315" s="273"/>
      <c r="W315" s="273"/>
    </row>
    <row r="316" spans="17:23">
      <c r="Q316" s="273"/>
      <c r="R316" s="273"/>
      <c r="S316" s="273"/>
      <c r="T316" s="273"/>
      <c r="U316" s="273"/>
      <c r="V316" s="273"/>
      <c r="W316" s="273"/>
    </row>
    <row r="317" spans="17:23">
      <c r="Q317" s="273"/>
      <c r="R317" s="273"/>
      <c r="S317" s="273"/>
      <c r="T317" s="273"/>
      <c r="U317" s="273"/>
      <c r="V317" s="273"/>
      <c r="W317" s="273"/>
    </row>
    <row r="318" spans="17:23">
      <c r="Q318" s="273"/>
      <c r="R318" s="273"/>
      <c r="S318" s="273"/>
      <c r="T318" s="273"/>
      <c r="U318" s="273"/>
      <c r="V318" s="273"/>
      <c r="W318" s="273"/>
    </row>
    <row r="319" spans="17:23">
      <c r="Q319" s="273"/>
      <c r="R319" s="273"/>
      <c r="S319" s="273"/>
      <c r="T319" s="273"/>
      <c r="U319" s="273"/>
      <c r="V319" s="273"/>
      <c r="W319" s="273"/>
    </row>
    <row r="320" spans="17:23">
      <c r="Q320" s="273"/>
      <c r="R320" s="273"/>
      <c r="S320" s="273"/>
      <c r="T320" s="273"/>
      <c r="U320" s="273"/>
      <c r="V320" s="273"/>
      <c r="W320" s="273"/>
    </row>
    <row r="321" spans="17:23">
      <c r="Q321" s="273"/>
      <c r="R321" s="273"/>
      <c r="S321" s="273"/>
      <c r="T321" s="273"/>
      <c r="U321" s="273"/>
      <c r="V321" s="273"/>
      <c r="W321" s="273"/>
    </row>
    <row r="322" spans="17:23">
      <c r="Q322" s="273"/>
      <c r="R322" s="273"/>
      <c r="S322" s="273"/>
      <c r="T322" s="273"/>
      <c r="U322" s="273"/>
      <c r="V322" s="273"/>
      <c r="W322" s="273"/>
    </row>
    <row r="323" spans="17:23">
      <c r="Q323" s="273"/>
      <c r="R323" s="273"/>
      <c r="S323" s="273"/>
      <c r="T323" s="273"/>
      <c r="U323" s="273"/>
      <c r="V323" s="273"/>
      <c r="W323" s="273"/>
    </row>
    <row r="324" spans="17:23">
      <c r="Q324" s="273"/>
      <c r="R324" s="273"/>
      <c r="S324" s="273"/>
      <c r="T324" s="273"/>
      <c r="U324" s="273"/>
      <c r="V324" s="273"/>
      <c r="W324" s="273"/>
    </row>
    <row r="325" spans="17:23">
      <c r="Q325" s="273"/>
      <c r="R325" s="273"/>
      <c r="S325" s="273"/>
      <c r="T325" s="273"/>
      <c r="U325" s="273"/>
      <c r="V325" s="273"/>
      <c r="W325" s="273"/>
    </row>
    <row r="326" spans="17:23">
      <c r="Q326" s="273"/>
      <c r="R326" s="273"/>
      <c r="S326" s="273"/>
      <c r="T326" s="273"/>
      <c r="U326" s="273"/>
      <c r="V326" s="273"/>
      <c r="W326" s="273"/>
    </row>
    <row r="327" spans="17:23">
      <c r="Q327" s="273"/>
      <c r="R327" s="273"/>
      <c r="S327" s="273"/>
      <c r="T327" s="273"/>
      <c r="U327" s="273"/>
      <c r="V327" s="273"/>
      <c r="W327" s="273"/>
    </row>
    <row r="328" spans="17:23">
      <c r="Q328" s="273"/>
      <c r="R328" s="273"/>
      <c r="S328" s="273"/>
      <c r="T328" s="273"/>
      <c r="U328" s="273"/>
      <c r="V328" s="273"/>
      <c r="W328" s="273"/>
    </row>
    <row r="329" spans="17:23">
      <c r="Q329" s="273"/>
      <c r="R329" s="273"/>
      <c r="S329" s="273"/>
      <c r="T329" s="273"/>
      <c r="U329" s="273"/>
      <c r="V329" s="273"/>
      <c r="W329" s="273"/>
    </row>
    <row r="330" spans="17:23">
      <c r="Q330" s="273"/>
      <c r="R330" s="273"/>
      <c r="S330" s="273"/>
      <c r="T330" s="273"/>
      <c r="U330" s="273"/>
      <c r="V330" s="273"/>
      <c r="W330" s="273"/>
    </row>
    <row r="331" spans="17:23">
      <c r="Q331" s="273"/>
      <c r="R331" s="273"/>
      <c r="S331" s="273"/>
      <c r="T331" s="273"/>
      <c r="U331" s="273"/>
      <c r="V331" s="273"/>
      <c r="W331" s="273"/>
    </row>
    <row r="332" spans="17:23">
      <c r="Q332" s="273"/>
      <c r="R332" s="273"/>
      <c r="S332" s="273"/>
      <c r="T332" s="273"/>
      <c r="U332" s="273"/>
      <c r="V332" s="273"/>
      <c r="W332" s="273"/>
    </row>
    <row r="333" spans="17:23">
      <c r="Q333" s="273"/>
      <c r="R333" s="273"/>
      <c r="S333" s="273"/>
      <c r="T333" s="273"/>
      <c r="U333" s="273"/>
      <c r="V333" s="273"/>
      <c r="W333" s="273"/>
    </row>
    <row r="334" spans="17:23">
      <c r="Q334" s="273"/>
      <c r="R334" s="273"/>
      <c r="S334" s="273"/>
      <c r="T334" s="273"/>
      <c r="U334" s="273"/>
      <c r="V334" s="273"/>
      <c r="W334" s="273"/>
    </row>
    <row r="335" spans="17:23">
      <c r="Q335" s="273"/>
      <c r="R335" s="273"/>
      <c r="S335" s="273"/>
      <c r="T335" s="273"/>
      <c r="U335" s="273"/>
      <c r="V335" s="273"/>
      <c r="W335" s="273"/>
    </row>
    <row r="336" spans="17:23">
      <c r="Q336" s="273"/>
      <c r="R336" s="273"/>
      <c r="S336" s="273"/>
      <c r="T336" s="273"/>
      <c r="U336" s="273"/>
      <c r="V336" s="273"/>
      <c r="W336" s="273"/>
    </row>
    <row r="337" spans="17:23">
      <c r="Q337" s="273"/>
      <c r="R337" s="273"/>
      <c r="S337" s="273"/>
      <c r="T337" s="273"/>
      <c r="U337" s="273"/>
      <c r="V337" s="273"/>
      <c r="W337" s="273"/>
    </row>
    <row r="338" spans="17:23">
      <c r="Q338" s="273"/>
      <c r="R338" s="273"/>
      <c r="S338" s="273"/>
      <c r="T338" s="273"/>
      <c r="U338" s="273"/>
      <c r="V338" s="273"/>
      <c r="W338" s="273"/>
    </row>
    <row r="339" spans="17:23">
      <c r="Q339" s="273"/>
      <c r="R339" s="273"/>
      <c r="S339" s="273"/>
      <c r="T339" s="273"/>
      <c r="U339" s="273"/>
      <c r="V339" s="273"/>
      <c r="W339" s="273"/>
    </row>
    <row r="340" spans="17:23">
      <c r="Q340" s="273"/>
      <c r="R340" s="273"/>
      <c r="S340" s="273"/>
      <c r="T340" s="273"/>
      <c r="U340" s="273"/>
      <c r="V340" s="273"/>
      <c r="W340" s="273"/>
    </row>
    <row r="341" spans="17:23">
      <c r="Q341" s="273"/>
      <c r="R341" s="273"/>
      <c r="S341" s="273"/>
      <c r="T341" s="273"/>
      <c r="U341" s="273"/>
      <c r="V341" s="273"/>
      <c r="W341" s="273"/>
    </row>
    <row r="342" spans="17:23">
      <c r="Q342" s="273"/>
      <c r="R342" s="273"/>
      <c r="S342" s="273"/>
      <c r="T342" s="273"/>
      <c r="U342" s="273"/>
      <c r="V342" s="273"/>
      <c r="W342" s="273"/>
    </row>
    <row r="343" spans="17:23">
      <c r="Q343" s="273"/>
      <c r="R343" s="273"/>
      <c r="S343" s="273"/>
      <c r="T343" s="273"/>
      <c r="U343" s="273"/>
      <c r="V343" s="273"/>
      <c r="W343" s="273"/>
    </row>
    <row r="344" spans="17:23">
      <c r="Q344" s="273"/>
      <c r="R344" s="273"/>
      <c r="S344" s="273"/>
      <c r="T344" s="273"/>
      <c r="U344" s="273"/>
      <c r="V344" s="273"/>
      <c r="W344" s="273"/>
    </row>
    <row r="345" spans="17:23">
      <c r="Q345" s="273"/>
      <c r="R345" s="273"/>
      <c r="S345" s="273"/>
      <c r="T345" s="273"/>
      <c r="U345" s="273"/>
      <c r="V345" s="273"/>
      <c r="W345" s="273"/>
    </row>
    <row r="346" spans="17:23">
      <c r="Q346" s="273"/>
      <c r="R346" s="273"/>
      <c r="S346" s="273"/>
      <c r="T346" s="273"/>
      <c r="U346" s="273"/>
      <c r="V346" s="273"/>
      <c r="W346" s="273"/>
    </row>
    <row r="347" spans="17:23">
      <c r="Q347" s="273"/>
      <c r="R347" s="273"/>
      <c r="S347" s="273"/>
      <c r="T347" s="273"/>
      <c r="U347" s="273"/>
      <c r="V347" s="273"/>
      <c r="W347" s="273"/>
    </row>
    <row r="348" spans="17:23">
      <c r="Q348" s="273"/>
      <c r="R348" s="273"/>
      <c r="S348" s="273"/>
      <c r="T348" s="273"/>
      <c r="U348" s="273"/>
      <c r="V348" s="273"/>
      <c r="W348" s="273"/>
    </row>
    <row r="349" spans="17:23">
      <c r="Q349" s="273"/>
      <c r="R349" s="273"/>
      <c r="S349" s="273"/>
      <c r="T349" s="273"/>
      <c r="U349" s="273"/>
      <c r="V349" s="273"/>
      <c r="W349" s="273"/>
    </row>
    <row r="350" spans="17:23">
      <c r="Q350" s="273"/>
      <c r="R350" s="273"/>
      <c r="S350" s="273"/>
      <c r="T350" s="273"/>
      <c r="U350" s="273"/>
      <c r="V350" s="273"/>
      <c r="W350" s="273"/>
    </row>
    <row r="351" spans="17:23">
      <c r="Q351" s="273"/>
      <c r="R351" s="273"/>
      <c r="S351" s="273"/>
      <c r="T351" s="273"/>
      <c r="U351" s="273"/>
      <c r="V351" s="273"/>
      <c r="W351" s="273"/>
    </row>
    <row r="352" spans="17:23">
      <c r="Q352" s="273"/>
      <c r="R352" s="273"/>
      <c r="S352" s="273"/>
      <c r="T352" s="273"/>
      <c r="U352" s="273"/>
      <c r="V352" s="273"/>
      <c r="W352" s="273"/>
    </row>
    <row r="353" spans="17:23">
      <c r="Q353" s="273"/>
      <c r="R353" s="273"/>
      <c r="S353" s="273"/>
      <c r="T353" s="273"/>
      <c r="U353" s="273"/>
      <c r="V353" s="273"/>
      <c r="W353" s="273"/>
    </row>
    <row r="354" spans="17:23">
      <c r="Q354" s="273"/>
      <c r="R354" s="273"/>
      <c r="S354" s="273"/>
      <c r="T354" s="273"/>
      <c r="U354" s="273"/>
      <c r="V354" s="273"/>
      <c r="W354" s="273"/>
    </row>
    <row r="355" spans="17:23">
      <c r="Q355" s="273"/>
      <c r="R355" s="273"/>
      <c r="S355" s="273"/>
      <c r="T355" s="273"/>
      <c r="U355" s="273"/>
      <c r="V355" s="273"/>
      <c r="W355" s="273"/>
    </row>
    <row r="356" spans="17:23">
      <c r="Q356" s="273"/>
      <c r="R356" s="273"/>
      <c r="S356" s="273"/>
      <c r="T356" s="273"/>
      <c r="U356" s="273"/>
      <c r="V356" s="273"/>
      <c r="W356" s="273"/>
    </row>
    <row r="357" spans="17:23">
      <c r="Q357" s="273"/>
      <c r="R357" s="273"/>
      <c r="S357" s="273"/>
      <c r="T357" s="273"/>
      <c r="U357" s="273"/>
      <c r="V357" s="273"/>
      <c r="W357" s="273"/>
    </row>
    <row r="358" spans="17:23">
      <c r="Q358" s="273"/>
      <c r="R358" s="273"/>
      <c r="S358" s="273"/>
      <c r="T358" s="273"/>
      <c r="U358" s="273"/>
      <c r="V358" s="273"/>
      <c r="W358" s="273"/>
    </row>
    <row r="359" spans="17:23">
      <c r="Q359" s="273"/>
      <c r="R359" s="273"/>
      <c r="S359" s="273"/>
      <c r="T359" s="273"/>
      <c r="U359" s="273"/>
      <c r="V359" s="273"/>
      <c r="W359" s="273"/>
    </row>
    <row r="360" spans="17:23">
      <c r="Q360" s="273"/>
      <c r="R360" s="273"/>
      <c r="S360" s="273"/>
      <c r="T360" s="273"/>
      <c r="U360" s="273"/>
      <c r="V360" s="273"/>
      <c r="W360" s="273"/>
    </row>
    <row r="361" spans="17:23">
      <c r="Q361" s="273"/>
      <c r="R361" s="273"/>
      <c r="S361" s="273"/>
      <c r="T361" s="273"/>
      <c r="U361" s="273"/>
      <c r="V361" s="273"/>
      <c r="W361" s="273"/>
    </row>
    <row r="362" spans="17:23">
      <c r="Q362" s="273"/>
      <c r="R362" s="273"/>
      <c r="S362" s="273"/>
      <c r="T362" s="273"/>
      <c r="U362" s="273"/>
      <c r="V362" s="273"/>
      <c r="W362" s="273"/>
    </row>
    <row r="363" spans="17:23">
      <c r="Q363" s="273"/>
      <c r="R363" s="273"/>
      <c r="S363" s="273"/>
      <c r="T363" s="273"/>
      <c r="U363" s="273"/>
      <c r="V363" s="273"/>
      <c r="W363" s="273"/>
    </row>
    <row r="364" spans="17:23">
      <c r="Q364" s="273"/>
      <c r="R364" s="273"/>
      <c r="S364" s="273"/>
      <c r="T364" s="273"/>
      <c r="U364" s="273"/>
      <c r="V364" s="273"/>
      <c r="W364" s="273"/>
    </row>
    <row r="365" spans="17:23">
      <c r="Q365" s="273"/>
      <c r="R365" s="273"/>
      <c r="S365" s="273"/>
      <c r="T365" s="273"/>
      <c r="U365" s="273"/>
      <c r="V365" s="273"/>
      <c r="W365" s="273"/>
    </row>
    <row r="366" spans="17:23">
      <c r="Q366" s="273"/>
      <c r="R366" s="273"/>
      <c r="S366" s="273"/>
      <c r="T366" s="273"/>
      <c r="U366" s="273"/>
      <c r="V366" s="273"/>
      <c r="W366" s="273"/>
    </row>
    <row r="367" spans="17:23">
      <c r="Q367" s="273"/>
      <c r="R367" s="273"/>
      <c r="S367" s="273"/>
      <c r="T367" s="273"/>
      <c r="U367" s="273"/>
      <c r="V367" s="273"/>
      <c r="W367" s="273"/>
    </row>
    <row r="368" spans="17:23">
      <c r="Q368" s="273"/>
      <c r="R368" s="273"/>
      <c r="S368" s="273"/>
      <c r="T368" s="273"/>
      <c r="U368" s="273"/>
      <c r="V368" s="273"/>
      <c r="W368" s="273"/>
    </row>
    <row r="369" spans="17:23">
      <c r="Q369" s="273"/>
      <c r="R369" s="273"/>
      <c r="S369" s="273"/>
      <c r="T369" s="273"/>
      <c r="U369" s="273"/>
      <c r="V369" s="273"/>
      <c r="W369" s="273"/>
    </row>
    <row r="370" spans="17:23">
      <c r="Q370" s="273"/>
      <c r="R370" s="273"/>
      <c r="S370" s="273"/>
      <c r="T370" s="273"/>
      <c r="U370" s="273"/>
      <c r="V370" s="273"/>
      <c r="W370" s="273"/>
    </row>
    <row r="371" spans="17:23">
      <c r="Q371" s="273"/>
      <c r="R371" s="273"/>
      <c r="S371" s="273"/>
      <c r="T371" s="273"/>
      <c r="U371" s="273"/>
      <c r="V371" s="273"/>
      <c r="W371" s="273"/>
    </row>
    <row r="372" spans="17:23">
      <c r="Q372" s="273"/>
      <c r="R372" s="273"/>
      <c r="S372" s="273"/>
      <c r="T372" s="273"/>
      <c r="U372" s="273"/>
      <c r="V372" s="273"/>
      <c r="W372" s="273"/>
    </row>
    <row r="373" spans="17:23">
      <c r="Q373" s="273"/>
      <c r="R373" s="273"/>
      <c r="S373" s="273"/>
      <c r="T373" s="273"/>
      <c r="U373" s="273"/>
      <c r="V373" s="273"/>
      <c r="W373" s="273"/>
    </row>
    <row r="374" spans="17:23">
      <c r="Q374" s="273"/>
      <c r="R374" s="273"/>
      <c r="S374" s="273"/>
      <c r="T374" s="273"/>
      <c r="U374" s="273"/>
      <c r="V374" s="273"/>
      <c r="W374" s="273"/>
    </row>
    <row r="375" spans="17:23">
      <c r="Q375" s="273"/>
      <c r="R375" s="273"/>
      <c r="S375" s="273"/>
      <c r="T375" s="273"/>
      <c r="U375" s="273"/>
      <c r="V375" s="273"/>
      <c r="W375" s="273"/>
    </row>
    <row r="376" spans="17:23">
      <c r="Q376" s="273"/>
      <c r="R376" s="273"/>
      <c r="S376" s="273"/>
      <c r="T376" s="273"/>
      <c r="U376" s="273"/>
      <c r="V376" s="273"/>
      <c r="W376" s="273"/>
    </row>
    <row r="377" spans="17:23">
      <c r="Q377" s="273"/>
      <c r="R377" s="273"/>
      <c r="S377" s="273"/>
      <c r="T377" s="273"/>
      <c r="U377" s="273"/>
      <c r="V377" s="273"/>
      <c r="W377" s="273"/>
    </row>
    <row r="378" spans="17:23">
      <c r="Q378" s="273"/>
      <c r="R378" s="273"/>
      <c r="S378" s="273"/>
      <c r="T378" s="273"/>
      <c r="U378" s="273"/>
      <c r="V378" s="273"/>
      <c r="W378" s="273"/>
    </row>
    <row r="379" spans="17:23">
      <c r="Q379" s="273"/>
      <c r="R379" s="273"/>
      <c r="S379" s="273"/>
      <c r="T379" s="273"/>
      <c r="U379" s="273"/>
      <c r="V379" s="273"/>
      <c r="W379" s="273"/>
    </row>
    <row r="380" spans="17:23">
      <c r="Q380" s="273"/>
      <c r="R380" s="273"/>
      <c r="S380" s="273"/>
      <c r="T380" s="273"/>
      <c r="U380" s="273"/>
      <c r="V380" s="273"/>
      <c r="W380" s="273"/>
    </row>
    <row r="381" spans="17:23">
      <c r="Q381" s="273"/>
      <c r="R381" s="273"/>
      <c r="S381" s="273"/>
      <c r="T381" s="273"/>
      <c r="U381" s="273"/>
      <c r="V381" s="273"/>
      <c r="W381" s="273"/>
    </row>
    <row r="382" spans="17:23">
      <c r="Q382" s="273"/>
      <c r="R382" s="273"/>
      <c r="S382" s="273"/>
      <c r="T382" s="273"/>
      <c r="U382" s="273"/>
      <c r="V382" s="273"/>
      <c r="W382" s="273"/>
    </row>
    <row r="383" spans="17:23">
      <c r="Q383" s="273"/>
      <c r="R383" s="273"/>
      <c r="S383" s="273"/>
      <c r="T383" s="273"/>
      <c r="U383" s="273"/>
      <c r="V383" s="273"/>
      <c r="W383" s="273"/>
    </row>
    <row r="384" spans="17:23">
      <c r="Q384" s="273"/>
      <c r="R384" s="273"/>
      <c r="S384" s="273"/>
      <c r="T384" s="273"/>
      <c r="U384" s="273"/>
      <c r="V384" s="273"/>
      <c r="W384" s="273"/>
    </row>
    <row r="385" spans="17:23">
      <c r="Q385" s="273"/>
      <c r="R385" s="273"/>
      <c r="S385" s="273"/>
      <c r="T385" s="273"/>
      <c r="U385" s="273"/>
      <c r="V385" s="273"/>
      <c r="W385" s="273"/>
    </row>
    <row r="386" spans="17:23">
      <c r="Q386" s="273"/>
      <c r="R386" s="273"/>
      <c r="S386" s="273"/>
      <c r="T386" s="273"/>
      <c r="U386" s="273"/>
      <c r="V386" s="273"/>
      <c r="W386" s="273"/>
    </row>
    <row r="387" spans="17:23">
      <c r="Q387" s="273"/>
      <c r="R387" s="273"/>
      <c r="S387" s="273"/>
      <c r="T387" s="273"/>
      <c r="U387" s="273"/>
      <c r="V387" s="273"/>
      <c r="W387" s="273"/>
    </row>
    <row r="388" spans="17:23">
      <c r="Q388" s="273"/>
      <c r="R388" s="273"/>
      <c r="S388" s="273"/>
      <c r="T388" s="273"/>
      <c r="U388" s="273"/>
      <c r="V388" s="273"/>
      <c r="W388" s="273"/>
    </row>
    <row r="389" spans="17:23">
      <c r="Q389" s="273"/>
      <c r="R389" s="273"/>
      <c r="S389" s="273"/>
      <c r="T389" s="273"/>
      <c r="U389" s="273"/>
      <c r="V389" s="273"/>
      <c r="W389" s="273"/>
    </row>
    <row r="390" spans="17:23">
      <c r="Q390" s="273"/>
      <c r="R390" s="273"/>
      <c r="S390" s="273"/>
      <c r="T390" s="273"/>
      <c r="U390" s="273"/>
      <c r="V390" s="273"/>
      <c r="W390" s="273"/>
    </row>
    <row r="391" spans="17:23">
      <c r="Q391" s="273"/>
      <c r="R391" s="273"/>
      <c r="S391" s="273"/>
      <c r="T391" s="273"/>
      <c r="U391" s="273"/>
      <c r="V391" s="273"/>
      <c r="W391" s="273"/>
    </row>
    <row r="392" spans="17:23">
      <c r="Q392" s="273"/>
      <c r="R392" s="273"/>
      <c r="S392" s="273"/>
      <c r="T392" s="273"/>
      <c r="U392" s="273"/>
      <c r="V392" s="273"/>
      <c r="W392" s="273"/>
    </row>
    <row r="393" spans="17:23">
      <c r="Q393" s="273"/>
      <c r="R393" s="273"/>
      <c r="S393" s="273"/>
      <c r="T393" s="273"/>
      <c r="U393" s="273"/>
      <c r="V393" s="273"/>
      <c r="W393" s="273"/>
    </row>
    <row r="394" spans="17:23">
      <c r="Q394" s="273"/>
      <c r="R394" s="273"/>
      <c r="S394" s="273"/>
      <c r="T394" s="273"/>
      <c r="U394" s="273"/>
      <c r="V394" s="273"/>
      <c r="W394" s="273"/>
    </row>
    <row r="395" spans="17:23">
      <c r="Q395" s="273"/>
      <c r="R395" s="273"/>
      <c r="S395" s="273"/>
      <c r="T395" s="273"/>
      <c r="U395" s="273"/>
      <c r="V395" s="273"/>
      <c r="W395" s="273"/>
    </row>
    <row r="396" spans="17:23">
      <c r="Q396" s="273"/>
      <c r="R396" s="273"/>
      <c r="S396" s="273"/>
      <c r="T396" s="273"/>
      <c r="U396" s="273"/>
      <c r="V396" s="273"/>
      <c r="W396" s="273"/>
    </row>
    <row r="397" spans="17:23">
      <c r="Q397" s="273"/>
      <c r="R397" s="273"/>
      <c r="S397" s="273"/>
      <c r="T397" s="273"/>
      <c r="U397" s="273"/>
      <c r="V397" s="273"/>
      <c r="W397" s="273"/>
    </row>
    <row r="398" spans="17:23">
      <c r="Q398" s="273"/>
      <c r="R398" s="273"/>
      <c r="S398" s="273"/>
      <c r="T398" s="273"/>
      <c r="U398" s="273"/>
      <c r="V398" s="273"/>
      <c r="W398" s="273"/>
    </row>
    <row r="399" spans="17:23">
      <c r="Q399" s="273"/>
      <c r="R399" s="273"/>
      <c r="S399" s="273"/>
      <c r="T399" s="273"/>
      <c r="U399" s="273"/>
      <c r="V399" s="273"/>
      <c r="W399" s="273"/>
    </row>
    <row r="400" spans="17:23">
      <c r="Q400" s="273"/>
      <c r="R400" s="273"/>
      <c r="S400" s="273"/>
      <c r="T400" s="273"/>
      <c r="U400" s="273"/>
      <c r="V400" s="273"/>
      <c r="W400" s="273"/>
    </row>
    <row r="401" spans="17:23">
      <c r="Q401" s="273"/>
      <c r="R401" s="273"/>
      <c r="S401" s="273"/>
      <c r="T401" s="273"/>
      <c r="U401" s="273"/>
      <c r="V401" s="273"/>
      <c r="W401" s="273"/>
    </row>
    <row r="402" spans="17:23">
      <c r="Q402" s="273"/>
      <c r="R402" s="273"/>
      <c r="S402" s="273"/>
      <c r="T402" s="273"/>
      <c r="U402" s="273"/>
      <c r="V402" s="273"/>
      <c r="W402" s="273"/>
    </row>
    <row r="403" spans="17:23">
      <c r="Q403" s="273"/>
      <c r="R403" s="273"/>
      <c r="S403" s="273"/>
      <c r="T403" s="273"/>
      <c r="U403" s="273"/>
      <c r="V403" s="273"/>
      <c r="W403" s="273"/>
    </row>
    <row r="404" spans="17:23">
      <c r="Q404" s="273"/>
      <c r="R404" s="273"/>
      <c r="S404" s="273"/>
      <c r="T404" s="273"/>
      <c r="U404" s="273"/>
      <c r="V404" s="273"/>
      <c r="W404" s="273"/>
    </row>
    <row r="405" spans="17:23">
      <c r="Q405" s="273"/>
      <c r="R405" s="273"/>
      <c r="S405" s="273"/>
      <c r="T405" s="273"/>
      <c r="U405" s="273"/>
      <c r="V405" s="273"/>
      <c r="W405" s="273"/>
    </row>
    <row r="406" spans="17:23">
      <c r="Q406" s="273"/>
      <c r="R406" s="273"/>
      <c r="S406" s="273"/>
      <c r="T406" s="273"/>
      <c r="U406" s="273"/>
      <c r="V406" s="273"/>
      <c r="W406" s="273"/>
    </row>
    <row r="407" spans="17:23">
      <c r="Q407" s="273"/>
      <c r="R407" s="273"/>
      <c r="S407" s="273"/>
      <c r="T407" s="273"/>
      <c r="U407" s="273"/>
      <c r="V407" s="273"/>
      <c r="W407" s="273"/>
    </row>
    <row r="408" spans="17:23">
      <c r="Q408" s="273"/>
      <c r="R408" s="273"/>
      <c r="S408" s="273"/>
      <c r="T408" s="273"/>
      <c r="U408" s="273"/>
      <c r="V408" s="273"/>
      <c r="W408" s="273"/>
    </row>
    <row r="409" spans="17:23">
      <c r="Q409" s="273"/>
      <c r="R409" s="273"/>
      <c r="S409" s="273"/>
      <c r="T409" s="273"/>
      <c r="U409" s="273"/>
      <c r="V409" s="273"/>
      <c r="W409" s="273"/>
    </row>
    <row r="410" spans="17:23">
      <c r="Q410" s="273"/>
      <c r="R410" s="273"/>
      <c r="S410" s="273"/>
      <c r="T410" s="273"/>
      <c r="U410" s="273"/>
      <c r="V410" s="273"/>
      <c r="W410" s="273"/>
    </row>
    <row r="411" spans="17:23">
      <c r="Q411" s="273"/>
      <c r="R411" s="273"/>
      <c r="S411" s="273"/>
      <c r="T411" s="273"/>
      <c r="U411" s="273"/>
      <c r="V411" s="273"/>
      <c r="W411" s="273"/>
    </row>
    <row r="412" spans="17:23">
      <c r="Q412" s="273"/>
      <c r="R412" s="273"/>
      <c r="S412" s="273"/>
      <c r="T412" s="273"/>
      <c r="U412" s="273"/>
      <c r="V412" s="273"/>
      <c r="W412" s="273"/>
    </row>
    <row r="413" spans="17:23">
      <c r="Q413" s="273"/>
      <c r="R413" s="273"/>
      <c r="S413" s="273"/>
      <c r="T413" s="273"/>
      <c r="U413" s="273"/>
      <c r="V413" s="273"/>
      <c r="W413" s="273"/>
    </row>
    <row r="414" spans="17:23">
      <c r="Q414" s="273"/>
      <c r="R414" s="273"/>
      <c r="S414" s="273"/>
      <c r="T414" s="273"/>
      <c r="U414" s="273"/>
      <c r="V414" s="273"/>
      <c r="W414" s="273"/>
    </row>
    <row r="415" spans="17:23">
      <c r="Q415" s="273"/>
      <c r="R415" s="273"/>
      <c r="S415" s="273"/>
      <c r="T415" s="273"/>
      <c r="U415" s="273"/>
      <c r="V415" s="273"/>
      <c r="W415" s="273"/>
    </row>
    <row r="416" spans="17:23">
      <c r="Q416" s="273"/>
      <c r="R416" s="273"/>
      <c r="S416" s="273"/>
      <c r="T416" s="273"/>
      <c r="U416" s="273"/>
      <c r="V416" s="273"/>
      <c r="W416" s="273"/>
    </row>
    <row r="417" spans="17:23">
      <c r="Q417" s="273"/>
      <c r="R417" s="273"/>
      <c r="S417" s="273"/>
      <c r="T417" s="273"/>
      <c r="U417" s="273"/>
      <c r="V417" s="273"/>
      <c r="W417" s="273"/>
    </row>
    <row r="418" spans="17:23">
      <c r="Q418" s="273"/>
      <c r="R418" s="273"/>
      <c r="S418" s="273"/>
      <c r="T418" s="273"/>
      <c r="U418" s="273"/>
      <c r="V418" s="273"/>
      <c r="W418" s="273"/>
    </row>
    <row r="419" spans="17:23">
      <c r="Q419" s="273"/>
      <c r="R419" s="273"/>
      <c r="S419" s="273"/>
      <c r="T419" s="273"/>
      <c r="U419" s="273"/>
      <c r="V419" s="273"/>
      <c r="W419" s="273"/>
    </row>
    <row r="420" spans="17:23">
      <c r="Q420" s="273"/>
      <c r="R420" s="273"/>
      <c r="S420" s="273"/>
      <c r="T420" s="273"/>
      <c r="U420" s="273"/>
      <c r="V420" s="273"/>
      <c r="W420" s="273"/>
    </row>
    <row r="421" spans="17:23">
      <c r="Q421" s="273"/>
      <c r="R421" s="273"/>
      <c r="S421" s="273"/>
      <c r="T421" s="273"/>
      <c r="U421" s="273"/>
      <c r="V421" s="273"/>
      <c r="W421" s="273"/>
    </row>
    <row r="422" spans="17:23">
      <c r="Q422" s="273"/>
      <c r="R422" s="273"/>
      <c r="S422" s="273"/>
      <c r="T422" s="273"/>
      <c r="U422" s="273"/>
      <c r="V422" s="273"/>
      <c r="W422" s="273"/>
    </row>
    <row r="423" spans="17:23">
      <c r="Q423" s="273"/>
      <c r="R423" s="273"/>
      <c r="S423" s="273"/>
      <c r="T423" s="273"/>
      <c r="U423" s="273"/>
      <c r="V423" s="273"/>
      <c r="W423" s="273"/>
    </row>
    <row r="424" spans="17:23">
      <c r="Q424" s="273"/>
      <c r="R424" s="273"/>
      <c r="S424" s="273"/>
      <c r="T424" s="273"/>
      <c r="U424" s="273"/>
      <c r="V424" s="273"/>
      <c r="W424" s="273"/>
    </row>
    <row r="425" spans="17:23">
      <c r="Q425" s="273"/>
      <c r="R425" s="273"/>
      <c r="S425" s="273"/>
      <c r="T425" s="273"/>
      <c r="U425" s="273"/>
      <c r="V425" s="273"/>
      <c r="W425" s="273"/>
    </row>
    <row r="426" spans="17:23">
      <c r="Q426" s="273"/>
      <c r="R426" s="273"/>
      <c r="S426" s="273"/>
      <c r="T426" s="273"/>
      <c r="U426" s="273"/>
      <c r="V426" s="273"/>
      <c r="W426" s="273"/>
    </row>
    <row r="427" spans="17:23">
      <c r="Q427" s="273"/>
      <c r="R427" s="273"/>
      <c r="S427" s="273"/>
      <c r="T427" s="273"/>
      <c r="U427" s="273"/>
      <c r="V427" s="273"/>
      <c r="W427" s="273"/>
    </row>
    <row r="428" spans="17:23">
      <c r="Q428" s="273"/>
      <c r="R428" s="273"/>
      <c r="S428" s="273"/>
      <c r="T428" s="273"/>
      <c r="U428" s="273"/>
      <c r="V428" s="273"/>
      <c r="W428" s="273"/>
    </row>
    <row r="429" spans="17:23">
      <c r="Q429" s="273"/>
      <c r="R429" s="273"/>
      <c r="S429" s="273"/>
      <c r="T429" s="273"/>
      <c r="U429" s="273"/>
      <c r="V429" s="273"/>
      <c r="W429" s="273"/>
    </row>
    <row r="430" spans="17:23">
      <c r="Q430" s="273"/>
      <c r="R430" s="273"/>
      <c r="S430" s="273"/>
      <c r="T430" s="273"/>
      <c r="U430" s="273"/>
      <c r="V430" s="273"/>
      <c r="W430" s="273"/>
    </row>
    <row r="431" spans="17:23">
      <c r="Q431" s="273"/>
      <c r="R431" s="273"/>
      <c r="S431" s="273"/>
      <c r="T431" s="273"/>
      <c r="U431" s="273"/>
      <c r="V431" s="273"/>
      <c r="W431" s="273"/>
    </row>
    <row r="432" spans="17:23">
      <c r="Q432" s="273"/>
      <c r="R432" s="273"/>
      <c r="S432" s="273"/>
      <c r="T432" s="273"/>
      <c r="U432" s="273"/>
      <c r="V432" s="273"/>
      <c r="W432" s="273"/>
    </row>
    <row r="433" spans="17:23">
      <c r="Q433" s="273"/>
      <c r="R433" s="273"/>
      <c r="S433" s="273"/>
      <c r="T433" s="273"/>
      <c r="U433" s="273"/>
      <c r="V433" s="273"/>
      <c r="W433" s="273"/>
    </row>
    <row r="434" spans="17:23">
      <c r="Q434" s="273"/>
      <c r="R434" s="273"/>
      <c r="S434" s="273"/>
      <c r="T434" s="273"/>
      <c r="U434" s="273"/>
      <c r="V434" s="273"/>
      <c r="W434" s="273"/>
    </row>
    <row r="435" spans="17:23">
      <c r="Q435" s="273"/>
      <c r="R435" s="273"/>
      <c r="S435" s="273"/>
      <c r="T435" s="273"/>
      <c r="U435" s="273"/>
      <c r="V435" s="273"/>
      <c r="W435" s="273"/>
    </row>
    <row r="436" spans="17:23">
      <c r="Q436" s="273"/>
      <c r="R436" s="273"/>
      <c r="S436" s="273"/>
      <c r="T436" s="273"/>
      <c r="U436" s="273"/>
      <c r="V436" s="273"/>
      <c r="W436" s="273"/>
    </row>
    <row r="437" spans="17:23">
      <c r="Q437" s="273"/>
      <c r="R437" s="273"/>
      <c r="S437" s="273"/>
      <c r="T437" s="273"/>
      <c r="U437" s="273"/>
      <c r="V437" s="273"/>
      <c r="W437" s="273"/>
    </row>
    <row r="438" spans="17:23">
      <c r="Q438" s="273"/>
      <c r="R438" s="273"/>
      <c r="S438" s="273"/>
      <c r="T438" s="273"/>
      <c r="U438" s="273"/>
      <c r="V438" s="273"/>
      <c r="W438" s="273"/>
    </row>
    <row r="439" spans="17:23">
      <c r="Q439" s="273"/>
      <c r="R439" s="273"/>
      <c r="S439" s="273"/>
      <c r="T439" s="273"/>
      <c r="U439" s="273"/>
      <c r="V439" s="273"/>
      <c r="W439" s="273"/>
    </row>
    <row r="440" spans="17:23">
      <c r="Q440" s="273"/>
      <c r="R440" s="273"/>
      <c r="S440" s="273"/>
      <c r="T440" s="273"/>
      <c r="U440" s="273"/>
      <c r="V440" s="273"/>
      <c r="W440" s="273"/>
    </row>
    <row r="441" spans="17:23">
      <c r="Q441" s="273"/>
      <c r="R441" s="273"/>
      <c r="S441" s="273"/>
      <c r="T441" s="273"/>
      <c r="U441" s="273"/>
      <c r="V441" s="273"/>
      <c r="W441" s="273"/>
    </row>
    <row r="442" spans="17:23">
      <c r="Q442" s="273"/>
      <c r="R442" s="273"/>
      <c r="S442" s="273"/>
      <c r="T442" s="273"/>
      <c r="U442" s="273"/>
      <c r="V442" s="273"/>
      <c r="W442" s="273"/>
    </row>
    <row r="443" spans="17:23">
      <c r="Q443" s="273"/>
      <c r="R443" s="273"/>
      <c r="S443" s="273"/>
      <c r="T443" s="273"/>
      <c r="U443" s="273"/>
      <c r="V443" s="273"/>
      <c r="W443" s="273"/>
    </row>
    <row r="444" spans="17:23">
      <c r="Q444" s="273"/>
      <c r="R444" s="273"/>
      <c r="S444" s="273"/>
      <c r="T444" s="273"/>
      <c r="U444" s="273"/>
      <c r="V444" s="273"/>
      <c r="W444" s="273"/>
    </row>
    <row r="445" spans="17:23">
      <c r="Q445" s="273"/>
      <c r="R445" s="273"/>
      <c r="S445" s="273"/>
      <c r="T445" s="273"/>
      <c r="U445" s="273"/>
      <c r="V445" s="273"/>
      <c r="W445" s="273"/>
    </row>
    <row r="446" spans="17:23">
      <c r="Q446" s="273"/>
      <c r="R446" s="273"/>
      <c r="S446" s="273"/>
      <c r="T446" s="273"/>
      <c r="U446" s="273"/>
      <c r="V446" s="273"/>
      <c r="W446" s="273"/>
    </row>
    <row r="447" spans="17:23">
      <c r="Q447" s="273"/>
      <c r="R447" s="273"/>
      <c r="S447" s="273"/>
      <c r="T447" s="273"/>
      <c r="U447" s="273"/>
      <c r="V447" s="273"/>
      <c r="W447" s="273"/>
    </row>
    <row r="448" spans="17:23">
      <c r="Q448" s="273"/>
      <c r="R448" s="273"/>
      <c r="S448" s="273"/>
      <c r="T448" s="273"/>
      <c r="U448" s="273"/>
      <c r="V448" s="273"/>
      <c r="W448" s="273"/>
    </row>
    <row r="449" spans="17:23">
      <c r="Q449" s="273"/>
      <c r="R449" s="273"/>
      <c r="S449" s="273"/>
      <c r="T449" s="273"/>
      <c r="U449" s="273"/>
      <c r="V449" s="273"/>
      <c r="W449" s="273"/>
    </row>
    <row r="450" spans="17:23">
      <c r="Q450" s="273"/>
      <c r="R450" s="273"/>
      <c r="S450" s="273"/>
      <c r="T450" s="273"/>
      <c r="U450" s="273"/>
      <c r="V450" s="273"/>
      <c r="W450" s="273"/>
    </row>
    <row r="451" spans="17:23">
      <c r="Q451" s="273"/>
      <c r="R451" s="273"/>
      <c r="S451" s="273"/>
      <c r="T451" s="273"/>
      <c r="U451" s="273"/>
      <c r="V451" s="273"/>
      <c r="W451" s="273"/>
    </row>
    <row r="452" spans="17:23">
      <c r="Q452" s="273"/>
      <c r="R452" s="273"/>
      <c r="S452" s="273"/>
      <c r="T452" s="273"/>
      <c r="U452" s="273"/>
      <c r="V452" s="273"/>
      <c r="W452" s="273"/>
    </row>
    <row r="453" spans="17:23">
      <c r="Q453" s="273"/>
      <c r="R453" s="273"/>
      <c r="S453" s="273"/>
      <c r="T453" s="273"/>
      <c r="U453" s="273"/>
      <c r="V453" s="273"/>
      <c r="W453" s="273"/>
    </row>
    <row r="454" spans="17:23">
      <c r="Q454" s="273"/>
      <c r="R454" s="273"/>
      <c r="S454" s="273"/>
      <c r="T454" s="273"/>
      <c r="U454" s="273"/>
      <c r="V454" s="273"/>
      <c r="W454" s="273"/>
    </row>
    <row r="455" spans="17:23">
      <c r="Q455" s="273"/>
      <c r="R455" s="273"/>
      <c r="S455" s="273"/>
      <c r="T455" s="273"/>
      <c r="U455" s="273"/>
      <c r="V455" s="273"/>
      <c r="W455" s="273"/>
    </row>
    <row r="456" spans="17:23">
      <c r="Q456" s="273"/>
      <c r="R456" s="273"/>
      <c r="S456" s="273"/>
      <c r="T456" s="273"/>
      <c r="U456" s="273"/>
      <c r="V456" s="273"/>
      <c r="W456" s="273"/>
    </row>
    <row r="457" spans="17:23">
      <c r="Q457" s="273"/>
      <c r="R457" s="273"/>
      <c r="S457" s="273"/>
      <c r="T457" s="273"/>
      <c r="U457" s="273"/>
      <c r="V457" s="273"/>
      <c r="W457" s="273"/>
    </row>
    <row r="458" spans="17:23">
      <c r="Q458" s="273"/>
      <c r="R458" s="273"/>
      <c r="S458" s="273"/>
      <c r="T458" s="273"/>
      <c r="U458" s="273"/>
      <c r="V458" s="273"/>
      <c r="W458" s="273"/>
    </row>
    <row r="459" spans="17:23">
      <c r="Q459" s="273"/>
      <c r="R459" s="273"/>
      <c r="S459" s="273"/>
      <c r="T459" s="273"/>
      <c r="U459" s="273"/>
      <c r="V459" s="273"/>
      <c r="W459" s="273"/>
    </row>
    <row r="460" spans="17:23">
      <c r="Q460" s="273"/>
      <c r="R460" s="273"/>
      <c r="S460" s="273"/>
      <c r="T460" s="273"/>
      <c r="U460" s="273"/>
      <c r="V460" s="273"/>
      <c r="W460" s="273"/>
    </row>
    <row r="461" spans="17:23">
      <c r="Q461" s="273"/>
      <c r="R461" s="273"/>
      <c r="S461" s="273"/>
      <c r="T461" s="273"/>
      <c r="U461" s="273"/>
      <c r="V461" s="273"/>
      <c r="W461" s="273"/>
    </row>
    <row r="462" spans="17:23">
      <c r="Q462" s="273"/>
      <c r="R462" s="273"/>
      <c r="S462" s="273"/>
      <c r="T462" s="273"/>
      <c r="U462" s="273"/>
      <c r="V462" s="273"/>
      <c r="W462" s="273"/>
    </row>
    <row r="463" spans="17:23">
      <c r="Q463" s="273"/>
      <c r="R463" s="273"/>
      <c r="S463" s="273"/>
      <c r="T463" s="273"/>
      <c r="U463" s="273"/>
      <c r="V463" s="273"/>
      <c r="W463" s="273"/>
    </row>
    <row r="464" spans="17:23">
      <c r="Q464" s="273"/>
      <c r="R464" s="273"/>
      <c r="S464" s="273"/>
      <c r="T464" s="273"/>
      <c r="U464" s="273"/>
      <c r="V464" s="273"/>
      <c r="W464" s="273"/>
    </row>
    <row r="465" spans="17:23">
      <c r="Q465" s="273"/>
      <c r="R465" s="273"/>
      <c r="S465" s="273"/>
      <c r="T465" s="273"/>
      <c r="U465" s="273"/>
      <c r="V465" s="273"/>
      <c r="W465" s="273"/>
    </row>
    <row r="466" spans="17:23">
      <c r="Q466" s="273"/>
      <c r="R466" s="273"/>
      <c r="S466" s="273"/>
      <c r="T466" s="273"/>
      <c r="U466" s="273"/>
      <c r="V466" s="273"/>
      <c r="W466" s="273"/>
    </row>
    <row r="467" spans="17:23">
      <c r="Q467" s="273"/>
      <c r="R467" s="273"/>
      <c r="S467" s="273"/>
      <c r="T467" s="273"/>
      <c r="U467" s="273"/>
      <c r="V467" s="273"/>
      <c r="W467" s="273"/>
    </row>
    <row r="468" spans="17:23">
      <c r="Q468" s="273"/>
      <c r="R468" s="273"/>
      <c r="S468" s="273"/>
      <c r="T468" s="273"/>
      <c r="U468" s="273"/>
      <c r="V468" s="273"/>
      <c r="W468" s="273"/>
    </row>
    <row r="469" spans="17:23">
      <c r="Q469" s="273"/>
      <c r="R469" s="273"/>
      <c r="S469" s="273"/>
      <c r="T469" s="273"/>
      <c r="U469" s="273"/>
      <c r="V469" s="273"/>
      <c r="W469" s="273"/>
    </row>
    <row r="470" spans="17:23">
      <c r="Q470" s="273"/>
      <c r="R470" s="273"/>
      <c r="S470" s="273"/>
      <c r="T470" s="273"/>
      <c r="U470" s="273"/>
      <c r="V470" s="273"/>
      <c r="W470" s="273"/>
    </row>
    <row r="471" spans="17:23">
      <c r="Q471" s="273"/>
      <c r="R471" s="273"/>
      <c r="S471" s="273"/>
      <c r="T471" s="273"/>
      <c r="U471" s="273"/>
      <c r="V471" s="273"/>
      <c r="W471" s="273"/>
    </row>
    <row r="472" spans="17:23">
      <c r="Q472" s="273"/>
      <c r="R472" s="273"/>
      <c r="S472" s="273"/>
      <c r="T472" s="273"/>
      <c r="U472" s="273"/>
      <c r="V472" s="273"/>
      <c r="W472" s="273"/>
    </row>
    <row r="473" spans="17:23">
      <c r="Q473" s="273"/>
      <c r="R473" s="273"/>
      <c r="S473" s="273"/>
      <c r="T473" s="273"/>
      <c r="U473" s="273"/>
      <c r="V473" s="273"/>
      <c r="W473" s="273"/>
    </row>
    <row r="474" spans="17:23">
      <c r="Q474" s="273"/>
      <c r="R474" s="273"/>
      <c r="S474" s="273"/>
      <c r="T474" s="273"/>
      <c r="U474" s="273"/>
      <c r="V474" s="273"/>
      <c r="W474" s="273"/>
    </row>
    <row r="475" spans="17:23">
      <c r="Q475" s="273"/>
      <c r="R475" s="273"/>
      <c r="S475" s="273"/>
      <c r="T475" s="273"/>
      <c r="U475" s="273"/>
      <c r="V475" s="273"/>
      <c r="W475" s="273"/>
    </row>
    <row r="476" spans="17:23">
      <c r="Q476" s="273"/>
      <c r="R476" s="273"/>
      <c r="S476" s="273"/>
      <c r="T476" s="273"/>
      <c r="U476" s="273"/>
      <c r="V476" s="273"/>
      <c r="W476" s="273"/>
    </row>
    <row r="477" spans="17:23">
      <c r="Q477" s="273"/>
      <c r="R477" s="273"/>
      <c r="S477" s="273"/>
      <c r="T477" s="273"/>
      <c r="U477" s="273"/>
      <c r="V477" s="273"/>
      <c r="W477" s="273"/>
    </row>
    <row r="478" spans="17:23">
      <c r="Q478" s="273"/>
      <c r="R478" s="273"/>
      <c r="S478" s="273"/>
      <c r="T478" s="273"/>
      <c r="U478" s="273"/>
      <c r="V478" s="273"/>
      <c r="W478" s="273"/>
    </row>
    <row r="479" spans="17:23">
      <c r="Q479" s="273"/>
      <c r="R479" s="273"/>
      <c r="S479" s="273"/>
      <c r="T479" s="273"/>
      <c r="U479" s="273"/>
      <c r="V479" s="273"/>
      <c r="W479" s="273"/>
    </row>
    <row r="480" spans="17:23">
      <c r="Q480" s="273"/>
      <c r="R480" s="273"/>
      <c r="S480" s="273"/>
      <c r="T480" s="273"/>
      <c r="U480" s="273"/>
      <c r="V480" s="273"/>
      <c r="W480" s="273"/>
    </row>
    <row r="481" spans="17:23">
      <c r="Q481" s="273"/>
      <c r="R481" s="273"/>
      <c r="S481" s="273"/>
      <c r="T481" s="273"/>
      <c r="U481" s="273"/>
      <c r="V481" s="273"/>
      <c r="W481" s="273"/>
    </row>
    <row r="482" spans="17:23">
      <c r="Q482" s="273"/>
      <c r="R482" s="273"/>
      <c r="S482" s="273"/>
      <c r="T482" s="273"/>
      <c r="U482" s="273"/>
      <c r="V482" s="273"/>
      <c r="W482" s="273"/>
    </row>
    <row r="483" spans="17:23">
      <c r="Q483" s="273"/>
      <c r="R483" s="273"/>
      <c r="S483" s="273"/>
      <c r="T483" s="273"/>
      <c r="U483" s="273"/>
      <c r="V483" s="273"/>
      <c r="W483" s="273"/>
    </row>
    <row r="484" spans="17:23">
      <c r="Q484" s="273"/>
      <c r="R484" s="273"/>
      <c r="S484" s="273"/>
      <c r="T484" s="273"/>
      <c r="U484" s="273"/>
      <c r="V484" s="273"/>
      <c r="W484" s="273"/>
    </row>
    <row r="485" spans="17:23">
      <c r="Q485" s="273"/>
      <c r="R485" s="273"/>
      <c r="S485" s="273"/>
      <c r="T485" s="273"/>
      <c r="U485" s="273"/>
      <c r="V485" s="273"/>
      <c r="W485" s="273"/>
    </row>
    <row r="486" spans="17:23">
      <c r="Q486" s="273"/>
      <c r="R486" s="273"/>
      <c r="S486" s="273"/>
      <c r="T486" s="273"/>
      <c r="U486" s="273"/>
      <c r="V486" s="273"/>
      <c r="W486" s="273"/>
    </row>
    <row r="487" spans="17:23">
      <c r="Q487" s="273"/>
      <c r="R487" s="273"/>
      <c r="S487" s="273"/>
      <c r="T487" s="273"/>
      <c r="U487" s="273"/>
      <c r="V487" s="273"/>
      <c r="W487" s="273"/>
    </row>
    <row r="488" spans="17:23">
      <c r="Q488" s="273"/>
      <c r="R488" s="273"/>
      <c r="S488" s="273"/>
      <c r="T488" s="273"/>
      <c r="U488" s="273"/>
      <c r="V488" s="273"/>
      <c r="W488" s="273"/>
    </row>
    <row r="489" spans="17:23">
      <c r="Q489" s="273"/>
      <c r="R489" s="273"/>
      <c r="S489" s="273"/>
      <c r="T489" s="273"/>
      <c r="U489" s="273"/>
      <c r="V489" s="273"/>
      <c r="W489" s="273"/>
    </row>
    <row r="490" spans="17:23">
      <c r="Q490" s="273"/>
      <c r="R490" s="273"/>
      <c r="S490" s="273"/>
      <c r="T490" s="273"/>
      <c r="U490" s="273"/>
      <c r="V490" s="273"/>
      <c r="W490" s="273"/>
    </row>
    <row r="491" spans="17:23">
      <c r="Q491" s="273"/>
      <c r="R491" s="273"/>
      <c r="S491" s="273"/>
      <c r="T491" s="273"/>
      <c r="U491" s="273"/>
      <c r="V491" s="273"/>
      <c r="W491" s="273"/>
    </row>
    <row r="492" spans="17:23">
      <c r="Q492" s="273"/>
      <c r="R492" s="273"/>
      <c r="S492" s="273"/>
      <c r="T492" s="273"/>
      <c r="U492" s="273"/>
      <c r="V492" s="273"/>
      <c r="W492" s="273"/>
    </row>
    <row r="493" spans="17:23">
      <c r="Q493" s="273"/>
      <c r="R493" s="273"/>
      <c r="S493" s="273"/>
      <c r="T493" s="273"/>
      <c r="U493" s="273"/>
      <c r="V493" s="273"/>
      <c r="W493" s="273"/>
    </row>
    <row r="494" spans="17:23">
      <c r="Q494" s="273"/>
      <c r="R494" s="273"/>
      <c r="S494" s="273"/>
      <c r="T494" s="273"/>
      <c r="U494" s="273"/>
      <c r="V494" s="273"/>
      <c r="W494" s="273"/>
    </row>
    <row r="495" spans="17:23">
      <c r="Q495" s="273"/>
      <c r="R495" s="273"/>
      <c r="S495" s="273"/>
      <c r="T495" s="273"/>
      <c r="U495" s="273"/>
      <c r="V495" s="273"/>
      <c r="W495" s="273"/>
    </row>
    <row r="496" spans="17:23">
      <c r="Q496" s="273"/>
      <c r="R496" s="273"/>
      <c r="S496" s="273"/>
      <c r="T496" s="273"/>
      <c r="U496" s="273"/>
      <c r="V496" s="273"/>
      <c r="W496" s="273"/>
    </row>
    <row r="497" spans="17:23">
      <c r="Q497" s="273"/>
      <c r="R497" s="273"/>
      <c r="S497" s="273"/>
      <c r="T497" s="273"/>
      <c r="U497" s="273"/>
      <c r="V497" s="273"/>
      <c r="W497" s="273"/>
    </row>
    <row r="498" spans="17:23">
      <c r="Q498" s="273"/>
      <c r="R498" s="273"/>
      <c r="S498" s="273"/>
      <c r="T498" s="273"/>
      <c r="U498" s="273"/>
      <c r="V498" s="273"/>
      <c r="W498" s="273"/>
    </row>
    <row r="499" spans="17:23">
      <c r="Q499" s="273"/>
      <c r="R499" s="273"/>
      <c r="S499" s="273"/>
      <c r="T499" s="273"/>
      <c r="U499" s="273"/>
      <c r="V499" s="273"/>
      <c r="W499" s="273"/>
    </row>
    <row r="500" spans="17:23">
      <c r="Q500" s="273"/>
      <c r="R500" s="273"/>
      <c r="S500" s="273"/>
      <c r="T500" s="273"/>
      <c r="U500" s="273"/>
      <c r="V500" s="273"/>
      <c r="W500" s="273"/>
    </row>
    <row r="501" spans="17:23">
      <c r="Q501" s="273"/>
      <c r="R501" s="273"/>
      <c r="S501" s="273"/>
      <c r="T501" s="273"/>
      <c r="U501" s="273"/>
      <c r="V501" s="273"/>
      <c r="W501" s="273"/>
    </row>
    <row r="502" spans="17:23">
      <c r="Q502" s="273"/>
      <c r="R502" s="273"/>
      <c r="S502" s="273"/>
      <c r="T502" s="273"/>
      <c r="U502" s="273"/>
      <c r="V502" s="273"/>
      <c r="W502" s="273"/>
    </row>
    <row r="503" spans="17:23">
      <c r="Q503" s="273"/>
      <c r="R503" s="273"/>
      <c r="S503" s="273"/>
      <c r="T503" s="273"/>
      <c r="U503" s="273"/>
      <c r="V503" s="273"/>
      <c r="W503" s="273"/>
    </row>
    <row r="504" spans="17:23">
      <c r="Q504" s="273"/>
      <c r="R504" s="273"/>
      <c r="S504" s="273"/>
      <c r="T504" s="273"/>
      <c r="U504" s="273"/>
      <c r="V504" s="273"/>
      <c r="W504" s="273"/>
    </row>
    <row r="505" spans="17:23">
      <c r="Q505" s="273"/>
      <c r="R505" s="273"/>
      <c r="S505" s="273"/>
      <c r="T505" s="273"/>
      <c r="U505" s="273"/>
      <c r="V505" s="273"/>
      <c r="W505" s="273"/>
    </row>
    <row r="506" spans="17:23">
      <c r="Q506" s="273"/>
      <c r="R506" s="273"/>
      <c r="S506" s="273"/>
      <c r="T506" s="273"/>
      <c r="U506" s="273"/>
      <c r="V506" s="273"/>
      <c r="W506" s="273"/>
    </row>
    <row r="507" spans="17:23">
      <c r="Q507" s="273"/>
      <c r="R507" s="273"/>
      <c r="S507" s="273"/>
      <c r="T507" s="273"/>
      <c r="U507" s="273"/>
      <c r="V507" s="273"/>
      <c r="W507" s="273"/>
    </row>
    <row r="508" spans="17:23">
      <c r="Q508" s="273"/>
      <c r="R508" s="273"/>
      <c r="S508" s="273"/>
      <c r="T508" s="273"/>
      <c r="U508" s="273"/>
      <c r="V508" s="273"/>
      <c r="W508" s="273"/>
    </row>
    <row r="509" spans="17:23">
      <c r="Q509" s="273"/>
      <c r="R509" s="273"/>
      <c r="S509" s="273"/>
      <c r="T509" s="273"/>
      <c r="U509" s="273"/>
      <c r="V509" s="273"/>
      <c r="W509" s="273"/>
    </row>
    <row r="510" spans="17:23">
      <c r="Q510" s="273"/>
      <c r="R510" s="273"/>
      <c r="S510" s="273"/>
      <c r="T510" s="273"/>
      <c r="U510" s="273"/>
      <c r="V510" s="273"/>
      <c r="W510" s="273"/>
    </row>
    <row r="511" spans="17:23">
      <c r="Q511" s="273"/>
      <c r="R511" s="273"/>
      <c r="S511" s="273"/>
      <c r="T511" s="273"/>
      <c r="U511" s="273"/>
      <c r="V511" s="273"/>
      <c r="W511" s="273"/>
    </row>
    <row r="512" spans="17:23">
      <c r="Q512" s="273"/>
      <c r="R512" s="273"/>
      <c r="S512" s="273"/>
      <c r="T512" s="273"/>
      <c r="U512" s="273"/>
      <c r="V512" s="273"/>
      <c r="W512" s="273"/>
    </row>
    <row r="513" spans="17:23">
      <c r="Q513" s="273"/>
      <c r="R513" s="273"/>
      <c r="S513" s="273"/>
      <c r="T513" s="273"/>
      <c r="U513" s="273"/>
      <c r="V513" s="273"/>
      <c r="W513" s="273"/>
    </row>
    <row r="514" spans="17:23">
      <c r="Q514" s="273"/>
      <c r="R514" s="273"/>
      <c r="S514" s="273"/>
      <c r="T514" s="273"/>
      <c r="U514" s="273"/>
      <c r="V514" s="273"/>
      <c r="W514" s="273"/>
    </row>
    <row r="515" spans="17:23">
      <c r="Q515" s="273"/>
      <c r="R515" s="273"/>
      <c r="S515" s="273"/>
      <c r="T515" s="273"/>
      <c r="U515" s="273"/>
      <c r="V515" s="273"/>
      <c r="W515" s="273"/>
    </row>
    <row r="516" spans="17:23">
      <c r="Q516" s="273"/>
      <c r="R516" s="273"/>
      <c r="S516" s="273"/>
      <c r="T516" s="273"/>
      <c r="U516" s="273"/>
      <c r="V516" s="273"/>
      <c r="W516" s="273"/>
    </row>
    <row r="517" spans="17:23">
      <c r="Q517" s="273"/>
      <c r="R517" s="273"/>
      <c r="S517" s="273"/>
      <c r="T517" s="273"/>
      <c r="U517" s="273"/>
      <c r="V517" s="273"/>
      <c r="W517" s="273"/>
    </row>
    <row r="518" spans="17:23">
      <c r="Q518" s="273"/>
      <c r="R518" s="273"/>
      <c r="S518" s="273"/>
      <c r="T518" s="273"/>
      <c r="U518" s="273"/>
      <c r="V518" s="273"/>
      <c r="W518" s="273"/>
    </row>
    <row r="519" spans="17:23">
      <c r="Q519" s="273"/>
      <c r="R519" s="273"/>
      <c r="S519" s="273"/>
      <c r="T519" s="273"/>
      <c r="U519" s="273"/>
      <c r="V519" s="273"/>
      <c r="W519" s="273"/>
    </row>
    <row r="520" spans="17:23">
      <c r="Q520" s="273"/>
      <c r="R520" s="273"/>
      <c r="S520" s="273"/>
      <c r="T520" s="273"/>
      <c r="U520" s="273"/>
      <c r="V520" s="273"/>
      <c r="W520" s="273"/>
    </row>
    <row r="521" spans="17:23">
      <c r="Q521" s="273"/>
      <c r="R521" s="273"/>
      <c r="S521" s="273"/>
      <c r="T521" s="273"/>
      <c r="U521" s="273"/>
      <c r="V521" s="273"/>
      <c r="W521" s="273"/>
    </row>
    <row r="522" spans="17:23">
      <c r="Q522" s="273"/>
      <c r="R522" s="273"/>
      <c r="S522" s="273"/>
      <c r="T522" s="273"/>
      <c r="U522" s="273"/>
      <c r="V522" s="273"/>
      <c r="W522" s="273"/>
    </row>
    <row r="523" spans="17:23">
      <c r="Q523" s="273"/>
      <c r="R523" s="273"/>
      <c r="S523" s="273"/>
      <c r="T523" s="273"/>
      <c r="U523" s="273"/>
      <c r="V523" s="273"/>
      <c r="W523" s="273"/>
    </row>
    <row r="524" spans="17:23">
      <c r="Q524" s="273"/>
      <c r="R524" s="273"/>
      <c r="S524" s="273"/>
      <c r="T524" s="273"/>
      <c r="U524" s="273"/>
      <c r="V524" s="273"/>
      <c r="W524" s="273"/>
    </row>
    <row r="525" spans="17:23">
      <c r="Q525" s="273"/>
      <c r="R525" s="273"/>
      <c r="S525" s="273"/>
      <c r="T525" s="273"/>
      <c r="U525" s="273"/>
      <c r="V525" s="273"/>
      <c r="W525" s="273"/>
    </row>
    <row r="526" spans="17:23">
      <c r="Q526" s="273"/>
      <c r="R526" s="273"/>
      <c r="S526" s="273"/>
      <c r="T526" s="273"/>
      <c r="U526" s="273"/>
      <c r="V526" s="273"/>
      <c r="W526" s="273"/>
    </row>
    <row r="527" spans="17:23">
      <c r="Q527" s="273"/>
      <c r="R527" s="273"/>
      <c r="S527" s="273"/>
      <c r="T527" s="273"/>
      <c r="U527" s="273"/>
      <c r="V527" s="273"/>
      <c r="W527" s="273"/>
    </row>
    <row r="528" spans="17:23">
      <c r="Q528" s="273"/>
      <c r="R528" s="273"/>
      <c r="S528" s="273"/>
      <c r="T528" s="273"/>
      <c r="U528" s="273"/>
      <c r="V528" s="273"/>
      <c r="W528" s="273"/>
    </row>
    <row r="529" spans="17:23">
      <c r="Q529" s="273"/>
      <c r="R529" s="273"/>
      <c r="S529" s="273"/>
      <c r="T529" s="273"/>
      <c r="U529" s="273"/>
      <c r="V529" s="273"/>
      <c r="W529" s="273"/>
    </row>
    <row r="530" spans="17:23">
      <c r="Q530" s="273"/>
      <c r="R530" s="273"/>
      <c r="S530" s="273"/>
      <c r="T530" s="273"/>
      <c r="U530" s="273"/>
      <c r="V530" s="273"/>
      <c r="W530" s="273"/>
    </row>
    <row r="531" spans="17:23">
      <c r="Q531" s="273"/>
      <c r="R531" s="273"/>
      <c r="S531" s="273"/>
      <c r="T531" s="273"/>
      <c r="U531" s="273"/>
      <c r="V531" s="273"/>
      <c r="W531" s="273"/>
    </row>
    <row r="532" spans="17:23">
      <c r="Q532" s="273"/>
      <c r="R532" s="273"/>
      <c r="S532" s="273"/>
      <c r="T532" s="273"/>
      <c r="U532" s="273"/>
      <c r="V532" s="273"/>
      <c r="W532" s="273"/>
    </row>
    <row r="533" spans="17:23">
      <c r="Q533" s="273"/>
      <c r="R533" s="273"/>
      <c r="S533" s="273"/>
      <c r="T533" s="273"/>
      <c r="U533" s="273"/>
      <c r="V533" s="273"/>
      <c r="W533" s="273"/>
    </row>
    <row r="534" spans="17:23">
      <c r="Q534" s="273"/>
      <c r="R534" s="273"/>
      <c r="S534" s="273"/>
      <c r="T534" s="273"/>
      <c r="U534" s="273"/>
      <c r="V534" s="273"/>
      <c r="W534" s="273"/>
    </row>
    <row r="535" spans="17:23">
      <c r="Q535" s="273"/>
      <c r="R535" s="273"/>
      <c r="S535" s="273"/>
      <c r="T535" s="273"/>
      <c r="U535" s="273"/>
      <c r="V535" s="273"/>
      <c r="W535" s="273"/>
    </row>
    <row r="536" spans="17:23">
      <c r="Q536" s="273"/>
      <c r="R536" s="273"/>
      <c r="S536" s="273"/>
      <c r="T536" s="273"/>
      <c r="U536" s="273"/>
      <c r="V536" s="273"/>
      <c r="W536" s="273"/>
    </row>
    <row r="537" spans="17:23">
      <c r="Q537" s="273"/>
      <c r="R537" s="273"/>
      <c r="S537" s="273"/>
      <c r="T537" s="273"/>
      <c r="U537" s="273"/>
      <c r="V537" s="273"/>
      <c r="W537" s="273"/>
    </row>
    <row r="538" spans="17:23">
      <c r="Q538" s="273"/>
      <c r="R538" s="273"/>
      <c r="S538" s="273"/>
      <c r="T538" s="273"/>
      <c r="U538" s="273"/>
      <c r="V538" s="273"/>
      <c r="W538" s="273"/>
    </row>
    <row r="539" spans="17:23">
      <c r="Q539" s="273"/>
      <c r="R539" s="273"/>
      <c r="S539" s="273"/>
      <c r="T539" s="273"/>
      <c r="U539" s="273"/>
      <c r="V539" s="273"/>
      <c r="W539" s="273"/>
    </row>
    <row r="540" spans="17:23">
      <c r="Q540" s="273"/>
      <c r="R540" s="273"/>
      <c r="S540" s="273"/>
      <c r="T540" s="273"/>
      <c r="U540" s="273"/>
      <c r="V540" s="273"/>
      <c r="W540" s="273"/>
    </row>
    <row r="541" spans="17:23">
      <c r="Q541" s="273"/>
      <c r="R541" s="273"/>
      <c r="S541" s="273"/>
      <c r="T541" s="273"/>
      <c r="U541" s="273"/>
      <c r="V541" s="273"/>
      <c r="W541" s="273"/>
    </row>
    <row r="542" spans="17:23">
      <c r="Q542" s="273"/>
      <c r="R542" s="273"/>
      <c r="S542" s="273"/>
      <c r="T542" s="273"/>
      <c r="U542" s="273"/>
      <c r="V542" s="273"/>
      <c r="W542" s="273"/>
    </row>
    <row r="543" spans="17:23">
      <c r="Q543" s="273"/>
      <c r="R543" s="273"/>
      <c r="S543" s="273"/>
      <c r="T543" s="273"/>
      <c r="U543" s="273"/>
      <c r="V543" s="273"/>
      <c r="W543" s="273"/>
    </row>
    <row r="544" spans="17:23">
      <c r="Q544" s="273"/>
      <c r="R544" s="273"/>
      <c r="S544" s="273"/>
      <c r="T544" s="273"/>
      <c r="U544" s="273"/>
      <c r="V544" s="273"/>
      <c r="W544" s="273"/>
    </row>
    <row r="545" spans="17:23">
      <c r="Q545" s="273"/>
      <c r="R545" s="273"/>
      <c r="S545" s="273"/>
      <c r="T545" s="273"/>
      <c r="U545" s="273"/>
      <c r="V545" s="273"/>
      <c r="W545" s="273"/>
    </row>
    <row r="546" spans="17:23">
      <c r="Q546" s="273"/>
      <c r="R546" s="273"/>
      <c r="S546" s="273"/>
      <c r="T546" s="273"/>
      <c r="U546" s="273"/>
      <c r="V546" s="273"/>
      <c r="W546" s="273"/>
    </row>
    <row r="547" spans="17:23">
      <c r="Q547" s="273"/>
      <c r="R547" s="273"/>
      <c r="S547" s="273"/>
      <c r="T547" s="273"/>
      <c r="U547" s="273"/>
      <c r="V547" s="273"/>
      <c r="W547" s="273"/>
    </row>
    <row r="548" spans="17:23">
      <c r="Q548" s="273"/>
      <c r="R548" s="273"/>
      <c r="S548" s="273"/>
      <c r="T548" s="273"/>
      <c r="U548" s="273"/>
      <c r="V548" s="273"/>
      <c r="W548" s="273"/>
    </row>
    <row r="549" spans="17:23">
      <c r="Q549" s="273"/>
      <c r="R549" s="273"/>
      <c r="S549" s="273"/>
      <c r="T549" s="273"/>
      <c r="U549" s="273"/>
      <c r="V549" s="273"/>
      <c r="W549" s="273"/>
    </row>
    <row r="550" spans="17:23">
      <c r="Q550" s="273"/>
      <c r="R550" s="273"/>
      <c r="S550" s="273"/>
      <c r="T550" s="273"/>
      <c r="U550" s="273"/>
      <c r="V550" s="273"/>
      <c r="W550" s="273"/>
    </row>
    <row r="551" spans="17:23">
      <c r="Q551" s="273"/>
      <c r="R551" s="273"/>
      <c r="S551" s="273"/>
      <c r="T551" s="273"/>
      <c r="U551" s="273"/>
      <c r="V551" s="273"/>
      <c r="W551" s="273"/>
    </row>
    <row r="552" spans="17:23">
      <c r="Q552" s="273"/>
      <c r="R552" s="273"/>
      <c r="S552" s="273"/>
      <c r="T552" s="273"/>
      <c r="U552" s="273"/>
      <c r="V552" s="273"/>
      <c r="W552" s="273"/>
    </row>
    <row r="553" spans="17:23">
      <c r="Q553" s="273"/>
      <c r="R553" s="273"/>
      <c r="S553" s="273"/>
      <c r="T553" s="273"/>
      <c r="U553" s="273"/>
      <c r="V553" s="273"/>
      <c r="W553" s="273"/>
    </row>
    <row r="554" spans="17:23">
      <c r="Q554" s="273"/>
      <c r="R554" s="273"/>
      <c r="S554" s="273"/>
      <c r="T554" s="273"/>
      <c r="U554" s="273"/>
      <c r="V554" s="273"/>
      <c r="W554" s="273"/>
    </row>
    <row r="555" spans="17:23">
      <c r="Q555" s="273"/>
      <c r="R555" s="273"/>
      <c r="S555" s="273"/>
      <c r="T555" s="273"/>
      <c r="U555" s="273"/>
      <c r="V555" s="273"/>
      <c r="W555" s="273"/>
    </row>
    <row r="556" spans="17:23">
      <c r="Q556" s="273"/>
      <c r="R556" s="273"/>
      <c r="S556" s="273"/>
      <c r="T556" s="273"/>
      <c r="U556" s="273"/>
      <c r="V556" s="273"/>
      <c r="W556" s="273"/>
    </row>
    <row r="557" spans="17:23">
      <c r="Q557" s="273"/>
      <c r="R557" s="273"/>
      <c r="S557" s="273"/>
      <c r="T557" s="273"/>
      <c r="U557" s="273"/>
      <c r="V557" s="273"/>
      <c r="W557" s="273"/>
    </row>
    <row r="558" spans="17:23">
      <c r="Q558" s="273"/>
      <c r="R558" s="273"/>
      <c r="S558" s="273"/>
      <c r="T558" s="273"/>
      <c r="U558" s="273"/>
      <c r="V558" s="273"/>
      <c r="W558" s="273"/>
    </row>
    <row r="559" spans="17:23">
      <c r="Q559" s="273"/>
      <c r="R559" s="273"/>
      <c r="S559" s="273"/>
      <c r="T559" s="273"/>
      <c r="U559" s="273"/>
      <c r="V559" s="273"/>
      <c r="W559" s="273"/>
    </row>
    <row r="560" spans="17:23">
      <c r="Q560" s="273"/>
      <c r="R560" s="273"/>
      <c r="S560" s="273"/>
      <c r="T560" s="273"/>
      <c r="U560" s="273"/>
      <c r="V560" s="273"/>
      <c r="W560" s="273"/>
    </row>
    <row r="561" spans="17:23">
      <c r="Q561" s="273"/>
      <c r="R561" s="273"/>
      <c r="S561" s="273"/>
      <c r="T561" s="273"/>
      <c r="U561" s="273"/>
      <c r="V561" s="273"/>
      <c r="W561" s="273"/>
    </row>
    <row r="562" spans="17:23">
      <c r="Q562" s="273"/>
      <c r="R562" s="273"/>
      <c r="S562" s="273"/>
      <c r="T562" s="273"/>
      <c r="U562" s="273"/>
      <c r="V562" s="273"/>
      <c r="W562" s="273"/>
    </row>
    <row r="563" spans="17:23">
      <c r="Q563" s="273"/>
      <c r="R563" s="273"/>
      <c r="S563" s="273"/>
      <c r="T563" s="273"/>
      <c r="U563" s="273"/>
      <c r="V563" s="273"/>
      <c r="W563" s="273"/>
    </row>
    <row r="564" spans="17:23">
      <c r="Q564" s="273"/>
      <c r="R564" s="273"/>
      <c r="S564" s="273"/>
      <c r="T564" s="273"/>
      <c r="U564" s="273"/>
      <c r="V564" s="273"/>
      <c r="W564" s="273"/>
    </row>
    <row r="565" spans="17:23">
      <c r="Q565" s="273"/>
      <c r="R565" s="273"/>
      <c r="S565" s="273"/>
      <c r="T565" s="273"/>
      <c r="U565" s="273"/>
      <c r="V565" s="273"/>
      <c r="W565" s="273"/>
    </row>
    <row r="566" spans="17:23">
      <c r="Q566" s="273"/>
      <c r="R566" s="273"/>
      <c r="S566" s="273"/>
      <c r="T566" s="273"/>
      <c r="U566" s="273"/>
      <c r="V566" s="273"/>
      <c r="W566" s="273"/>
    </row>
    <row r="567" spans="17:23">
      <c r="Q567" s="273"/>
      <c r="R567" s="273"/>
      <c r="S567" s="273"/>
      <c r="T567" s="273"/>
      <c r="U567" s="273"/>
      <c r="V567" s="273"/>
      <c r="W567" s="273"/>
    </row>
    <row r="568" spans="17:23">
      <c r="Q568" s="273"/>
      <c r="R568" s="273"/>
      <c r="S568" s="273"/>
      <c r="T568" s="273"/>
      <c r="U568" s="273"/>
      <c r="V568" s="273"/>
      <c r="W568" s="273"/>
    </row>
    <row r="569" spans="17:23">
      <c r="Q569" s="273"/>
      <c r="R569" s="273"/>
      <c r="S569" s="273"/>
      <c r="T569" s="273"/>
      <c r="U569" s="273"/>
      <c r="V569" s="273"/>
      <c r="W569" s="273"/>
    </row>
    <row r="570" spans="17:23">
      <c r="Q570" s="273"/>
      <c r="R570" s="273"/>
      <c r="S570" s="273"/>
      <c r="T570" s="273"/>
      <c r="U570" s="273"/>
      <c r="V570" s="273"/>
      <c r="W570" s="273"/>
    </row>
    <row r="571" spans="17:23">
      <c r="Q571" s="273"/>
      <c r="R571" s="273"/>
      <c r="S571" s="273"/>
      <c r="T571" s="273"/>
      <c r="U571" s="273"/>
      <c r="V571" s="273"/>
      <c r="W571" s="273"/>
    </row>
    <row r="572" spans="17:23">
      <c r="Q572" s="273"/>
      <c r="R572" s="273"/>
      <c r="S572" s="273"/>
      <c r="T572" s="273"/>
      <c r="U572" s="273"/>
      <c r="V572" s="273"/>
      <c r="W572" s="273"/>
    </row>
    <row r="573" spans="17:23">
      <c r="Q573" s="273"/>
      <c r="R573" s="273"/>
      <c r="S573" s="273"/>
      <c r="T573" s="273"/>
      <c r="U573" s="273"/>
      <c r="V573" s="273"/>
      <c r="W573" s="273"/>
    </row>
    <row r="574" spans="17:23">
      <c r="Q574" s="273"/>
      <c r="R574" s="273"/>
      <c r="S574" s="273"/>
      <c r="T574" s="273"/>
      <c r="U574" s="273"/>
      <c r="V574" s="273"/>
      <c r="W574" s="273"/>
    </row>
    <row r="575" spans="17:23">
      <c r="Q575" s="273"/>
      <c r="R575" s="273"/>
      <c r="S575" s="273"/>
      <c r="T575" s="273"/>
      <c r="U575" s="273"/>
      <c r="V575" s="273"/>
      <c r="W575" s="273"/>
    </row>
    <row r="576" spans="17:23">
      <c r="Q576" s="273"/>
      <c r="R576" s="273"/>
      <c r="S576" s="273"/>
      <c r="T576" s="273"/>
      <c r="U576" s="273"/>
      <c r="V576" s="273"/>
      <c r="W576" s="273"/>
    </row>
    <row r="577" spans="17:23">
      <c r="Q577" s="273"/>
      <c r="R577" s="273"/>
      <c r="S577" s="273"/>
      <c r="T577" s="273"/>
      <c r="U577" s="273"/>
      <c r="V577" s="273"/>
      <c r="W577" s="273"/>
    </row>
    <row r="578" spans="17:23">
      <c r="Q578" s="273"/>
      <c r="R578" s="273"/>
      <c r="S578" s="273"/>
      <c r="T578" s="273"/>
      <c r="U578" s="273"/>
      <c r="V578" s="273"/>
      <c r="W578" s="273"/>
    </row>
    <row r="579" spans="17:23">
      <c r="Q579" s="273"/>
      <c r="R579" s="273"/>
      <c r="S579" s="273"/>
      <c r="T579" s="273"/>
      <c r="U579" s="273"/>
      <c r="V579" s="273"/>
      <c r="W579" s="273"/>
    </row>
    <row r="580" spans="17:23">
      <c r="Q580" s="273"/>
      <c r="R580" s="273"/>
      <c r="S580" s="273"/>
      <c r="T580" s="273"/>
      <c r="U580" s="273"/>
      <c r="V580" s="273"/>
      <c r="W580" s="273"/>
    </row>
    <row r="581" spans="17:23">
      <c r="Q581" s="273"/>
      <c r="R581" s="273"/>
      <c r="S581" s="273"/>
      <c r="T581" s="273"/>
      <c r="U581" s="273"/>
      <c r="V581" s="273"/>
      <c r="W581" s="273"/>
    </row>
    <row r="582" spans="17:23">
      <c r="Q582" s="273"/>
      <c r="R582" s="273"/>
      <c r="S582" s="273"/>
      <c r="T582" s="273"/>
      <c r="U582" s="273"/>
      <c r="V582" s="273"/>
      <c r="W582" s="273"/>
    </row>
    <row r="583" spans="17:23">
      <c r="Q583" s="273"/>
      <c r="R583" s="273"/>
      <c r="S583" s="273"/>
      <c r="T583" s="273"/>
      <c r="U583" s="273"/>
      <c r="V583" s="273"/>
      <c r="W583" s="273"/>
    </row>
    <row r="584" spans="17:23">
      <c r="Q584" s="273"/>
      <c r="R584" s="273"/>
      <c r="S584" s="273"/>
      <c r="T584" s="273"/>
      <c r="U584" s="273"/>
      <c r="V584" s="273"/>
      <c r="W584" s="273"/>
    </row>
    <row r="585" spans="17:23">
      <c r="Q585" s="273"/>
      <c r="R585" s="273"/>
      <c r="S585" s="273"/>
      <c r="T585" s="273"/>
      <c r="U585" s="273"/>
      <c r="V585" s="273"/>
      <c r="W585" s="273"/>
    </row>
    <row r="586" spans="17:23">
      <c r="Q586" s="273"/>
      <c r="R586" s="273"/>
      <c r="S586" s="273"/>
      <c r="T586" s="273"/>
      <c r="U586" s="273"/>
      <c r="V586" s="273"/>
      <c r="W586" s="273"/>
    </row>
    <row r="587" spans="17:23">
      <c r="Q587" s="273"/>
      <c r="R587" s="273"/>
      <c r="S587" s="273"/>
      <c r="T587" s="273"/>
      <c r="U587" s="273"/>
      <c r="V587" s="273"/>
      <c r="W587" s="273"/>
    </row>
    <row r="588" spans="17:23">
      <c r="Q588" s="273"/>
      <c r="R588" s="273"/>
      <c r="S588" s="273"/>
      <c r="T588" s="273"/>
      <c r="U588" s="273"/>
      <c r="V588" s="273"/>
      <c r="W588" s="273"/>
    </row>
    <row r="589" spans="17:23">
      <c r="Q589" s="273"/>
      <c r="R589" s="273"/>
      <c r="S589" s="273"/>
      <c r="T589" s="273"/>
      <c r="U589" s="273"/>
      <c r="V589" s="273"/>
      <c r="W589" s="273"/>
    </row>
    <row r="590" spans="17:23">
      <c r="Q590" s="273"/>
      <c r="R590" s="273"/>
      <c r="S590" s="273"/>
      <c r="T590" s="273"/>
      <c r="U590" s="273"/>
      <c r="V590" s="273"/>
      <c r="W590" s="273"/>
    </row>
    <row r="591" spans="17:23">
      <c r="Q591" s="273"/>
      <c r="R591" s="273"/>
      <c r="S591" s="273"/>
      <c r="T591" s="273"/>
      <c r="U591" s="273"/>
      <c r="V591" s="273"/>
      <c r="W591" s="273"/>
    </row>
    <row r="592" spans="17:23">
      <c r="Q592" s="273"/>
      <c r="R592" s="273"/>
      <c r="S592" s="273"/>
      <c r="T592" s="273"/>
      <c r="U592" s="273"/>
      <c r="V592" s="273"/>
      <c r="W592" s="273"/>
    </row>
    <row r="593" spans="17:23">
      <c r="Q593" s="273"/>
      <c r="R593" s="273"/>
      <c r="S593" s="273"/>
      <c r="T593" s="273"/>
      <c r="U593" s="273"/>
      <c r="V593" s="273"/>
      <c r="W593" s="273"/>
    </row>
    <row r="594" spans="17:23">
      <c r="Q594" s="273"/>
      <c r="R594" s="273"/>
      <c r="S594" s="273"/>
      <c r="T594" s="273"/>
      <c r="U594" s="273"/>
      <c r="V594" s="273"/>
      <c r="W594" s="273"/>
    </row>
    <row r="595" spans="17:23">
      <c r="Q595" s="273"/>
      <c r="R595" s="273"/>
      <c r="S595" s="273"/>
      <c r="T595" s="273"/>
      <c r="U595" s="273"/>
      <c r="V595" s="273"/>
      <c r="W595" s="273"/>
    </row>
    <row r="596" spans="17:23">
      <c r="Q596" s="273"/>
      <c r="R596" s="273"/>
      <c r="S596" s="273"/>
      <c r="T596" s="273"/>
      <c r="U596" s="273"/>
      <c r="V596" s="273"/>
      <c r="W596" s="273"/>
    </row>
    <row r="597" spans="17:23">
      <c r="Q597" s="273"/>
      <c r="R597" s="273"/>
      <c r="S597" s="273"/>
      <c r="T597" s="273"/>
      <c r="U597" s="273"/>
      <c r="V597" s="273"/>
      <c r="W597" s="273"/>
    </row>
    <row r="598" spans="17:23">
      <c r="Q598" s="273"/>
      <c r="R598" s="273"/>
      <c r="S598" s="273"/>
      <c r="T598" s="273"/>
      <c r="U598" s="273"/>
      <c r="V598" s="273"/>
      <c r="W598" s="273"/>
    </row>
    <row r="599" spans="17:23">
      <c r="Q599" s="273"/>
      <c r="R599" s="273"/>
      <c r="S599" s="273"/>
      <c r="T599" s="273"/>
      <c r="U599" s="273"/>
      <c r="V599" s="273"/>
      <c r="W599" s="273"/>
    </row>
    <row r="600" spans="17:23">
      <c r="Q600" s="273"/>
      <c r="R600" s="273"/>
      <c r="S600" s="273"/>
      <c r="T600" s="273"/>
      <c r="U600" s="273"/>
      <c r="V600" s="273"/>
      <c r="W600" s="273"/>
    </row>
    <row r="601" spans="17:23">
      <c r="Q601" s="273"/>
      <c r="R601" s="273"/>
      <c r="S601" s="273"/>
      <c r="T601" s="273"/>
      <c r="U601" s="273"/>
      <c r="V601" s="273"/>
      <c r="W601" s="273"/>
    </row>
    <row r="602" spans="17:23">
      <c r="Q602" s="273"/>
      <c r="R602" s="273"/>
      <c r="S602" s="273"/>
      <c r="T602" s="273"/>
      <c r="U602" s="273"/>
      <c r="V602" s="273"/>
      <c r="W602" s="273"/>
    </row>
    <row r="603" spans="17:23">
      <c r="Q603" s="273"/>
      <c r="R603" s="273"/>
      <c r="S603" s="273"/>
      <c r="T603" s="273"/>
      <c r="U603" s="273"/>
      <c r="V603" s="273"/>
      <c r="W603" s="273"/>
    </row>
    <row r="604" spans="17:23">
      <c r="Q604" s="273"/>
      <c r="R604" s="273"/>
      <c r="S604" s="273"/>
      <c r="T604" s="273"/>
      <c r="U604" s="273"/>
      <c r="V604" s="273"/>
      <c r="W604" s="273"/>
    </row>
    <row r="605" spans="17:23">
      <c r="Q605" s="273"/>
      <c r="R605" s="273"/>
      <c r="S605" s="273"/>
      <c r="T605" s="273"/>
      <c r="U605" s="273"/>
      <c r="V605" s="273"/>
      <c r="W605" s="273"/>
    </row>
    <row r="606" spans="17:23">
      <c r="Q606" s="273"/>
      <c r="R606" s="273"/>
      <c r="S606" s="273"/>
      <c r="T606" s="273"/>
      <c r="U606" s="273"/>
      <c r="V606" s="273"/>
      <c r="W606" s="273"/>
    </row>
    <row r="607" spans="17:23">
      <c r="Q607" s="273"/>
      <c r="R607" s="273"/>
      <c r="S607" s="273"/>
      <c r="T607" s="273"/>
      <c r="U607" s="273"/>
      <c r="V607" s="273"/>
      <c r="W607" s="273"/>
    </row>
    <row r="608" spans="17:23">
      <c r="Q608" s="273"/>
      <c r="R608" s="273"/>
      <c r="S608" s="273"/>
      <c r="T608" s="273"/>
      <c r="U608" s="273"/>
      <c r="V608" s="273"/>
      <c r="W608" s="273"/>
    </row>
    <row r="609" spans="17:23">
      <c r="Q609" s="273"/>
      <c r="R609" s="273"/>
      <c r="S609" s="273"/>
      <c r="T609" s="273"/>
      <c r="U609" s="273"/>
      <c r="V609" s="273"/>
      <c r="W609" s="273"/>
    </row>
    <row r="610" spans="17:23">
      <c r="Q610" s="273"/>
      <c r="R610" s="273"/>
      <c r="S610" s="273"/>
      <c r="T610" s="273"/>
      <c r="U610" s="273"/>
      <c r="V610" s="273"/>
      <c r="W610" s="273"/>
    </row>
    <row r="611" spans="17:23">
      <c r="Q611" s="273"/>
      <c r="R611" s="273"/>
      <c r="S611" s="273"/>
      <c r="T611" s="273"/>
      <c r="U611" s="273"/>
      <c r="V611" s="273"/>
      <c r="W611" s="273"/>
    </row>
    <row r="612" spans="17:23">
      <c r="Q612" s="273"/>
      <c r="R612" s="273"/>
      <c r="S612" s="273"/>
      <c r="T612" s="273"/>
      <c r="U612" s="273"/>
      <c r="V612" s="273"/>
      <c r="W612" s="273"/>
    </row>
    <row r="613" spans="17:23">
      <c r="Q613" s="273"/>
      <c r="R613" s="273"/>
      <c r="S613" s="273"/>
      <c r="T613" s="273"/>
      <c r="U613" s="273"/>
      <c r="V613" s="273"/>
      <c r="W613" s="273"/>
    </row>
    <row r="614" spans="17:23">
      <c r="Q614" s="273"/>
      <c r="R614" s="273"/>
      <c r="S614" s="273"/>
      <c r="T614" s="273"/>
      <c r="U614" s="273"/>
      <c r="V614" s="273"/>
      <c r="W614" s="273"/>
    </row>
    <row r="615" spans="17:23">
      <c r="Q615" s="273"/>
      <c r="R615" s="273"/>
      <c r="S615" s="273"/>
      <c r="T615" s="273"/>
      <c r="U615" s="273"/>
      <c r="V615" s="273"/>
      <c r="W615" s="273"/>
    </row>
    <row r="616" spans="17:23">
      <c r="Q616" s="273"/>
      <c r="R616" s="273"/>
      <c r="S616" s="273"/>
      <c r="T616" s="273"/>
      <c r="U616" s="273"/>
      <c r="V616" s="273"/>
      <c r="W616" s="273"/>
    </row>
    <row r="617" spans="17:23">
      <c r="Q617" s="273"/>
      <c r="R617" s="273"/>
      <c r="S617" s="273"/>
      <c r="T617" s="273"/>
      <c r="U617" s="273"/>
      <c r="V617" s="273"/>
      <c r="W617" s="273"/>
    </row>
    <row r="618" spans="17:23">
      <c r="Q618" s="273"/>
      <c r="R618" s="273"/>
      <c r="S618" s="273"/>
      <c r="T618" s="273"/>
      <c r="U618" s="273"/>
      <c r="V618" s="273"/>
      <c r="W618" s="273"/>
    </row>
    <row r="619" spans="17:23">
      <c r="Q619" s="273"/>
      <c r="R619" s="273"/>
      <c r="S619" s="273"/>
      <c r="T619" s="273"/>
      <c r="U619" s="273"/>
      <c r="V619" s="273"/>
      <c r="W619" s="273"/>
    </row>
    <row r="620" spans="17:23">
      <c r="Q620" s="273"/>
      <c r="R620" s="273"/>
      <c r="S620" s="273"/>
      <c r="T620" s="273"/>
      <c r="U620" s="273"/>
      <c r="V620" s="273"/>
      <c r="W620" s="273"/>
    </row>
    <row r="621" spans="17:23">
      <c r="Q621" s="273"/>
      <c r="R621" s="273"/>
      <c r="S621" s="273"/>
      <c r="T621" s="273"/>
      <c r="U621" s="273"/>
      <c r="V621" s="273"/>
      <c r="W621" s="273"/>
    </row>
    <row r="622" spans="17:23">
      <c r="Q622" s="273"/>
      <c r="R622" s="273"/>
      <c r="S622" s="273"/>
      <c r="T622" s="273"/>
      <c r="U622" s="273"/>
      <c r="V622" s="273"/>
      <c r="W622" s="273"/>
    </row>
    <row r="623" spans="17:23">
      <c r="Q623" s="273"/>
      <c r="R623" s="273"/>
      <c r="S623" s="273"/>
      <c r="T623" s="273"/>
      <c r="U623" s="273"/>
      <c r="V623" s="273"/>
      <c r="W623" s="273"/>
    </row>
    <row r="624" spans="17:23">
      <c r="Q624" s="273"/>
      <c r="R624" s="273"/>
      <c r="S624" s="273"/>
      <c r="T624" s="273"/>
      <c r="U624" s="273"/>
      <c r="V624" s="273"/>
      <c r="W624" s="273"/>
    </row>
    <row r="625" spans="17:23">
      <c r="Q625" s="273"/>
      <c r="R625" s="273"/>
      <c r="S625" s="273"/>
      <c r="T625" s="273"/>
      <c r="U625" s="273"/>
      <c r="V625" s="273"/>
      <c r="W625" s="273"/>
    </row>
    <row r="626" spans="17:23">
      <c r="Q626" s="273"/>
      <c r="R626" s="273"/>
      <c r="S626" s="273"/>
      <c r="T626" s="273"/>
      <c r="U626" s="273"/>
      <c r="V626" s="273"/>
      <c r="W626" s="273"/>
    </row>
    <row r="627" spans="17:23">
      <c r="Q627" s="273"/>
      <c r="R627" s="273"/>
      <c r="S627" s="273"/>
      <c r="T627" s="273"/>
      <c r="U627" s="273"/>
      <c r="V627" s="273"/>
      <c r="W627" s="273"/>
    </row>
    <row r="628" spans="17:23">
      <c r="Q628" s="273"/>
      <c r="R628" s="273"/>
      <c r="S628" s="273"/>
      <c r="T628" s="273"/>
      <c r="U628" s="273"/>
      <c r="V628" s="273"/>
      <c r="W628" s="273"/>
    </row>
    <row r="629" spans="17:23">
      <c r="Q629" s="273"/>
      <c r="R629" s="273"/>
      <c r="S629" s="273"/>
      <c r="T629" s="273"/>
      <c r="U629" s="273"/>
      <c r="V629" s="273"/>
      <c r="W629" s="273"/>
    </row>
    <row r="630" spans="17:23">
      <c r="Q630" s="273"/>
      <c r="R630" s="273"/>
      <c r="S630" s="273"/>
      <c r="T630" s="273"/>
      <c r="U630" s="273"/>
      <c r="V630" s="273"/>
      <c r="W630" s="273"/>
    </row>
    <row r="631" spans="17:23">
      <c r="Q631" s="273"/>
      <c r="R631" s="273"/>
      <c r="S631" s="273"/>
      <c r="T631" s="273"/>
      <c r="U631" s="273"/>
      <c r="V631" s="273"/>
      <c r="W631" s="273"/>
    </row>
    <row r="632" spans="17:23">
      <c r="Q632" s="273"/>
      <c r="R632" s="273"/>
      <c r="S632" s="273"/>
      <c r="T632" s="273"/>
      <c r="U632" s="273"/>
      <c r="V632" s="273"/>
      <c r="W632" s="273"/>
    </row>
    <row r="633" spans="17:23">
      <c r="Q633" s="273"/>
      <c r="R633" s="273"/>
      <c r="S633" s="273"/>
      <c r="T633" s="273"/>
      <c r="U633" s="273"/>
      <c r="V633" s="273"/>
      <c r="W633" s="273"/>
    </row>
    <row r="634" spans="17:23">
      <c r="Q634" s="273"/>
      <c r="R634" s="273"/>
      <c r="S634" s="273"/>
      <c r="T634" s="273"/>
      <c r="U634" s="273"/>
      <c r="V634" s="273"/>
      <c r="W634" s="273"/>
    </row>
    <row r="635" spans="17:23">
      <c r="Q635" s="273"/>
      <c r="R635" s="273"/>
      <c r="S635" s="273"/>
      <c r="T635" s="273"/>
      <c r="U635" s="273"/>
      <c r="V635" s="273"/>
      <c r="W635" s="273"/>
    </row>
    <row r="636" spans="17:23">
      <c r="Q636" s="273"/>
      <c r="R636" s="273"/>
      <c r="S636" s="273"/>
      <c r="T636" s="273"/>
      <c r="U636" s="273"/>
      <c r="V636" s="273"/>
      <c r="W636" s="273"/>
    </row>
    <row r="637" spans="17:23">
      <c r="Q637" s="273"/>
      <c r="R637" s="273"/>
      <c r="S637" s="273"/>
      <c r="T637" s="273"/>
      <c r="U637" s="273"/>
      <c r="V637" s="273"/>
      <c r="W637" s="273"/>
    </row>
    <row r="638" spans="17:23">
      <c r="Q638" s="273"/>
      <c r="R638" s="273"/>
      <c r="S638" s="273"/>
      <c r="T638" s="273"/>
      <c r="U638" s="273"/>
      <c r="V638" s="273"/>
      <c r="W638" s="273"/>
    </row>
    <row r="639" spans="17:23">
      <c r="Q639" s="273"/>
      <c r="R639" s="273"/>
      <c r="S639" s="273"/>
      <c r="T639" s="273"/>
      <c r="U639" s="273"/>
      <c r="V639" s="273"/>
      <c r="W639" s="273"/>
    </row>
    <row r="640" spans="17:23">
      <c r="Q640" s="273"/>
      <c r="R640" s="273"/>
      <c r="S640" s="273"/>
      <c r="T640" s="273"/>
      <c r="U640" s="273"/>
      <c r="V640" s="273"/>
      <c r="W640" s="273"/>
    </row>
    <row r="641" spans="17:23">
      <c r="Q641" s="273"/>
      <c r="R641" s="273"/>
      <c r="S641" s="273"/>
      <c r="T641" s="273"/>
      <c r="U641" s="273"/>
      <c r="V641" s="273"/>
      <c r="W641" s="273"/>
    </row>
    <row r="642" spans="17:23">
      <c r="Q642" s="273"/>
      <c r="R642" s="273"/>
      <c r="S642" s="273"/>
      <c r="T642" s="273"/>
      <c r="U642" s="273"/>
      <c r="V642" s="273"/>
      <c r="W642" s="273"/>
    </row>
    <row r="643" spans="17:23">
      <c r="Q643" s="273"/>
      <c r="R643" s="273"/>
      <c r="S643" s="273"/>
      <c r="T643" s="273"/>
      <c r="U643" s="273"/>
      <c r="V643" s="273"/>
      <c r="W643" s="273"/>
    </row>
    <row r="644" spans="17:23">
      <c r="Q644" s="273"/>
      <c r="R644" s="273"/>
      <c r="S644" s="273"/>
      <c r="T644" s="273"/>
      <c r="U644" s="273"/>
      <c r="V644" s="273"/>
      <c r="W644" s="273"/>
    </row>
    <row r="645" spans="17:23">
      <c r="Q645" s="273"/>
      <c r="R645" s="273"/>
      <c r="S645" s="273"/>
      <c r="T645" s="273"/>
      <c r="U645" s="273"/>
      <c r="V645" s="273"/>
      <c r="W645" s="273"/>
    </row>
    <row r="646" spans="17:23">
      <c r="Q646" s="273"/>
      <c r="R646" s="273"/>
      <c r="S646" s="273"/>
      <c r="T646" s="273"/>
      <c r="U646" s="273"/>
      <c r="V646" s="273"/>
      <c r="W646" s="273"/>
    </row>
    <row r="647" spans="17:23">
      <c r="Q647" s="273"/>
      <c r="R647" s="273"/>
      <c r="S647" s="273"/>
      <c r="T647" s="273"/>
      <c r="U647" s="273"/>
      <c r="V647" s="273"/>
      <c r="W647" s="273"/>
    </row>
    <row r="648" spans="17:23">
      <c r="Q648" s="273"/>
      <c r="R648" s="273"/>
      <c r="S648" s="273"/>
      <c r="T648" s="273"/>
      <c r="U648" s="273"/>
      <c r="V648" s="273"/>
      <c r="W648" s="273"/>
    </row>
    <row r="649" spans="17:23">
      <c r="Q649" s="273"/>
      <c r="R649" s="273"/>
      <c r="S649" s="273"/>
      <c r="T649" s="273"/>
      <c r="U649" s="273"/>
      <c r="V649" s="273"/>
      <c r="W649" s="273"/>
    </row>
    <row r="650" spans="17:23">
      <c r="Q650" s="273"/>
      <c r="R650" s="273"/>
      <c r="S650" s="273"/>
      <c r="T650" s="273"/>
      <c r="U650" s="273"/>
      <c r="V650" s="273"/>
      <c r="W650" s="273"/>
    </row>
    <row r="651" spans="17:23">
      <c r="Q651" s="273"/>
      <c r="R651" s="273"/>
      <c r="S651" s="273"/>
      <c r="T651" s="273"/>
      <c r="U651" s="273"/>
      <c r="V651" s="273"/>
      <c r="W651" s="273"/>
    </row>
    <row r="652" spans="17:23">
      <c r="Q652" s="273"/>
      <c r="R652" s="273"/>
      <c r="S652" s="273"/>
      <c r="T652" s="273"/>
      <c r="U652" s="273"/>
      <c r="V652" s="273"/>
      <c r="W652" s="273"/>
    </row>
    <row r="653" spans="17:23">
      <c r="Q653" s="273"/>
      <c r="R653" s="273"/>
      <c r="S653" s="273"/>
      <c r="T653" s="273"/>
      <c r="U653" s="273"/>
      <c r="V653" s="273"/>
      <c r="W653" s="273"/>
    </row>
    <row r="654" spans="17:23">
      <c r="Q654" s="273"/>
      <c r="R654" s="273"/>
      <c r="S654" s="273"/>
      <c r="T654" s="273"/>
      <c r="U654" s="273"/>
      <c r="V654" s="273"/>
      <c r="W654" s="273"/>
    </row>
    <row r="655" spans="17:23">
      <c r="Q655" s="273"/>
      <c r="R655" s="273"/>
      <c r="S655" s="273"/>
      <c r="T655" s="273"/>
      <c r="U655" s="273"/>
      <c r="V655" s="273"/>
      <c r="W655" s="273"/>
    </row>
    <row r="656" spans="17:23">
      <c r="Q656" s="273"/>
      <c r="R656" s="273"/>
      <c r="S656" s="273"/>
      <c r="T656" s="273"/>
      <c r="U656" s="273"/>
      <c r="V656" s="273"/>
      <c r="W656" s="273"/>
    </row>
    <row r="657" spans="17:23">
      <c r="Q657" s="273"/>
      <c r="R657" s="273"/>
      <c r="S657" s="273"/>
      <c r="T657" s="273"/>
      <c r="U657" s="273"/>
      <c r="V657" s="273"/>
      <c r="W657" s="273"/>
    </row>
    <row r="658" spans="17:23">
      <c r="Q658" s="273"/>
      <c r="R658" s="273"/>
      <c r="S658" s="273"/>
      <c r="T658" s="273"/>
      <c r="U658" s="273"/>
      <c r="V658" s="273"/>
      <c r="W658" s="273"/>
    </row>
    <row r="659" spans="17:23">
      <c r="Q659" s="273"/>
      <c r="R659" s="273"/>
      <c r="S659" s="273"/>
      <c r="T659" s="273"/>
      <c r="U659" s="273"/>
      <c r="V659" s="273"/>
      <c r="W659" s="273"/>
    </row>
    <row r="660" spans="17:23">
      <c r="Q660" s="273"/>
      <c r="R660" s="273"/>
      <c r="S660" s="273"/>
      <c r="T660" s="273"/>
      <c r="U660" s="273"/>
      <c r="V660" s="273"/>
      <c r="W660" s="273"/>
    </row>
    <row r="661" spans="17:23">
      <c r="Q661" s="273"/>
      <c r="R661" s="273"/>
      <c r="S661" s="273"/>
      <c r="T661" s="273"/>
      <c r="U661" s="273"/>
      <c r="V661" s="273"/>
      <c r="W661" s="273"/>
    </row>
    <row r="662" spans="17:23">
      <c r="Q662" s="273"/>
      <c r="R662" s="273"/>
      <c r="S662" s="273"/>
      <c r="T662" s="273"/>
      <c r="U662" s="273"/>
      <c r="V662" s="273"/>
      <c r="W662" s="273"/>
    </row>
    <row r="663" spans="17:23">
      <c r="Q663" s="273"/>
      <c r="R663" s="273"/>
      <c r="S663" s="273"/>
      <c r="T663" s="273"/>
      <c r="U663" s="273"/>
      <c r="V663" s="273"/>
      <c r="W663" s="273"/>
    </row>
    <row r="664" spans="17:23">
      <c r="Q664" s="273"/>
      <c r="R664" s="273"/>
      <c r="S664" s="273"/>
      <c r="T664" s="273"/>
      <c r="U664" s="273"/>
      <c r="V664" s="273"/>
      <c r="W664" s="273"/>
    </row>
    <row r="665" spans="17:23">
      <c r="Q665" s="273"/>
      <c r="R665" s="273"/>
      <c r="S665" s="273"/>
      <c r="T665" s="273"/>
      <c r="U665" s="273"/>
      <c r="V665" s="273"/>
      <c r="W665" s="273"/>
    </row>
    <row r="666" spans="17:23">
      <c r="Q666" s="273"/>
      <c r="R666" s="273"/>
      <c r="S666" s="273"/>
      <c r="T666" s="273"/>
      <c r="U666" s="273"/>
      <c r="V666" s="273"/>
      <c r="W666" s="273"/>
    </row>
    <row r="667" spans="17:23">
      <c r="Q667" s="273"/>
      <c r="R667" s="273"/>
      <c r="S667" s="273"/>
      <c r="T667" s="273"/>
      <c r="U667" s="273"/>
      <c r="V667" s="273"/>
      <c r="W667" s="273"/>
    </row>
    <row r="668" spans="17:23">
      <c r="Q668" s="273"/>
      <c r="R668" s="273"/>
      <c r="S668" s="273"/>
      <c r="T668" s="273"/>
      <c r="U668" s="273"/>
      <c r="V668" s="273"/>
      <c r="W668" s="273"/>
    </row>
    <row r="669" spans="17:23">
      <c r="Q669" s="273"/>
      <c r="R669" s="273"/>
      <c r="S669" s="273"/>
      <c r="T669" s="273"/>
      <c r="U669" s="273"/>
      <c r="V669" s="273"/>
      <c r="W669" s="273"/>
    </row>
    <row r="670" spans="17:23">
      <c r="Q670" s="273"/>
      <c r="R670" s="273"/>
      <c r="S670" s="273"/>
      <c r="T670" s="273"/>
      <c r="U670" s="273"/>
      <c r="V670" s="273"/>
      <c r="W670" s="273"/>
    </row>
    <row r="671" spans="17:23">
      <c r="Q671" s="273"/>
      <c r="R671" s="273"/>
      <c r="S671" s="273"/>
      <c r="T671" s="273"/>
      <c r="U671" s="273"/>
      <c r="V671" s="273"/>
      <c r="W671" s="273"/>
    </row>
    <row r="672" spans="17:23">
      <c r="Q672" s="273"/>
      <c r="R672" s="273"/>
      <c r="S672" s="273"/>
      <c r="T672" s="273"/>
      <c r="U672" s="273"/>
      <c r="V672" s="273"/>
      <c r="W672" s="273"/>
    </row>
    <row r="673" spans="17:23">
      <c r="Q673" s="273"/>
      <c r="R673" s="273"/>
      <c r="S673" s="273"/>
      <c r="T673" s="273"/>
      <c r="U673" s="273"/>
      <c r="V673" s="273"/>
      <c r="W673" s="273"/>
    </row>
    <row r="674" spans="17:23">
      <c r="Q674" s="273"/>
      <c r="R674" s="273"/>
      <c r="S674" s="273"/>
      <c r="T674" s="273"/>
      <c r="U674" s="273"/>
      <c r="V674" s="273"/>
      <c r="W674" s="273"/>
    </row>
    <row r="675" spans="17:23">
      <c r="Q675" s="273"/>
      <c r="R675" s="273"/>
      <c r="S675" s="273"/>
      <c r="T675" s="273"/>
      <c r="U675" s="273"/>
      <c r="V675" s="273"/>
      <c r="W675" s="273"/>
    </row>
    <row r="676" spans="17:23">
      <c r="Q676" s="273"/>
      <c r="R676" s="273"/>
      <c r="S676" s="273"/>
      <c r="T676" s="273"/>
      <c r="U676" s="273"/>
      <c r="V676" s="273"/>
      <c r="W676" s="273"/>
    </row>
    <row r="677" spans="17:23">
      <c r="Q677" s="273"/>
      <c r="R677" s="273"/>
      <c r="S677" s="273"/>
      <c r="T677" s="273"/>
      <c r="U677" s="273"/>
      <c r="V677" s="273"/>
      <c r="W677" s="273"/>
    </row>
    <row r="678" spans="17:23">
      <c r="Q678" s="273"/>
      <c r="R678" s="273"/>
      <c r="S678" s="273"/>
      <c r="T678" s="273"/>
      <c r="U678" s="273"/>
      <c r="V678" s="273"/>
      <c r="W678" s="273"/>
    </row>
    <row r="679" spans="17:23">
      <c r="Q679" s="273"/>
      <c r="R679" s="273"/>
      <c r="S679" s="273"/>
      <c r="T679" s="273"/>
      <c r="U679" s="273"/>
      <c r="V679" s="273"/>
      <c r="W679" s="273"/>
    </row>
    <row r="680" spans="17:23">
      <c r="Q680" s="273"/>
      <c r="R680" s="273"/>
      <c r="S680" s="273"/>
      <c r="T680" s="273"/>
      <c r="U680" s="273"/>
      <c r="V680" s="273"/>
      <c r="W680" s="273"/>
    </row>
    <row r="681" spans="17:23">
      <c r="Q681" s="273"/>
      <c r="R681" s="273"/>
      <c r="S681" s="273"/>
      <c r="T681" s="273"/>
      <c r="U681" s="273"/>
      <c r="V681" s="273"/>
      <c r="W681" s="273"/>
    </row>
    <row r="682" spans="17:23">
      <c r="Q682" s="273"/>
      <c r="R682" s="273"/>
      <c r="S682" s="273"/>
      <c r="T682" s="273"/>
      <c r="U682" s="273"/>
      <c r="V682" s="273"/>
      <c r="W682" s="273"/>
    </row>
    <row r="683" spans="17:23">
      <c r="Q683" s="273"/>
      <c r="R683" s="273"/>
      <c r="S683" s="273"/>
      <c r="T683" s="273"/>
      <c r="U683" s="273"/>
      <c r="V683" s="273"/>
      <c r="W683" s="273"/>
    </row>
    <row r="684" spans="17:23">
      <c r="Q684" s="273"/>
      <c r="R684" s="273"/>
      <c r="S684" s="273"/>
      <c r="T684" s="273"/>
      <c r="U684" s="273"/>
      <c r="V684" s="273"/>
      <c r="W684" s="273"/>
    </row>
    <row r="685" spans="17:23">
      <c r="Q685" s="273"/>
      <c r="R685" s="273"/>
      <c r="S685" s="273"/>
      <c r="T685" s="273"/>
      <c r="U685" s="273"/>
      <c r="V685" s="273"/>
      <c r="W685" s="273"/>
    </row>
    <row r="686" spans="17:23">
      <c r="Q686" s="273"/>
      <c r="R686" s="273"/>
      <c r="S686" s="273"/>
      <c r="T686" s="273"/>
      <c r="U686" s="273"/>
      <c r="V686" s="273"/>
      <c r="W686" s="273"/>
    </row>
    <row r="687" spans="17:23">
      <c r="Q687" s="273"/>
      <c r="R687" s="273"/>
      <c r="S687" s="273"/>
      <c r="T687" s="273"/>
      <c r="U687" s="273"/>
      <c r="V687" s="273"/>
      <c r="W687" s="273"/>
    </row>
    <row r="688" spans="17:23">
      <c r="Q688" s="273"/>
      <c r="R688" s="273"/>
      <c r="S688" s="273"/>
      <c r="T688" s="273"/>
      <c r="U688" s="273"/>
      <c r="V688" s="273"/>
      <c r="W688" s="273"/>
    </row>
    <row r="689" spans="17:23">
      <c r="Q689" s="273"/>
      <c r="R689" s="273"/>
      <c r="S689" s="273"/>
      <c r="T689" s="273"/>
      <c r="U689" s="273"/>
      <c r="V689" s="273"/>
      <c r="W689" s="273"/>
    </row>
    <row r="690" spans="17:23">
      <c r="Q690" s="273"/>
      <c r="R690" s="273"/>
      <c r="S690" s="273"/>
      <c r="T690" s="273"/>
      <c r="U690" s="273"/>
      <c r="V690" s="273"/>
      <c r="W690" s="273"/>
    </row>
    <row r="691" spans="17:23">
      <c r="Q691" s="273"/>
      <c r="R691" s="273"/>
      <c r="S691" s="273"/>
      <c r="T691" s="273"/>
      <c r="U691" s="273"/>
      <c r="V691" s="273"/>
      <c r="W691" s="273"/>
    </row>
    <row r="692" spans="17:23">
      <c r="Q692" s="273"/>
      <c r="R692" s="273"/>
      <c r="S692" s="273"/>
      <c r="T692" s="273"/>
      <c r="U692" s="273"/>
      <c r="V692" s="273"/>
      <c r="W692" s="273"/>
    </row>
    <row r="693" spans="17:23">
      <c r="Q693" s="273"/>
      <c r="R693" s="273"/>
      <c r="S693" s="273"/>
      <c r="T693" s="273"/>
      <c r="U693" s="273"/>
      <c r="V693" s="273"/>
      <c r="W693" s="273"/>
    </row>
    <row r="694" spans="17:23">
      <c r="Q694" s="273"/>
      <c r="R694" s="273"/>
      <c r="S694" s="273"/>
      <c r="T694" s="273"/>
      <c r="U694" s="273"/>
      <c r="V694" s="273"/>
      <c r="W694" s="273"/>
    </row>
    <row r="695" spans="17:23">
      <c r="Q695" s="273"/>
      <c r="R695" s="273"/>
      <c r="S695" s="273"/>
      <c r="T695" s="273"/>
      <c r="U695" s="273"/>
      <c r="V695" s="273"/>
      <c r="W695" s="273"/>
    </row>
    <row r="696" spans="17:23">
      <c r="Q696" s="273"/>
      <c r="R696" s="273"/>
      <c r="S696" s="273"/>
      <c r="T696" s="273"/>
      <c r="U696" s="273"/>
      <c r="V696" s="273"/>
      <c r="W696" s="273"/>
    </row>
    <row r="697" spans="17:23">
      <c r="Q697" s="273"/>
      <c r="R697" s="273"/>
      <c r="S697" s="273"/>
      <c r="T697" s="273"/>
      <c r="U697" s="273"/>
      <c r="V697" s="273"/>
      <c r="W697" s="273"/>
    </row>
    <row r="698" spans="17:23">
      <c r="Q698" s="273"/>
      <c r="R698" s="273"/>
      <c r="S698" s="273"/>
      <c r="T698" s="273"/>
      <c r="U698" s="273"/>
      <c r="V698" s="273"/>
      <c r="W698" s="273"/>
    </row>
    <row r="699" spans="17:23">
      <c r="Q699" s="273"/>
      <c r="R699" s="273"/>
      <c r="S699" s="273"/>
      <c r="T699" s="273"/>
      <c r="U699" s="273"/>
      <c r="V699" s="273"/>
      <c r="W699" s="273"/>
    </row>
    <row r="700" spans="17:23">
      <c r="Q700" s="273"/>
      <c r="R700" s="273"/>
      <c r="S700" s="273"/>
      <c r="T700" s="273"/>
      <c r="U700" s="273"/>
      <c r="V700" s="273"/>
      <c r="W700" s="273"/>
    </row>
    <row r="701" spans="17:23">
      <c r="Q701" s="273"/>
      <c r="R701" s="273"/>
      <c r="S701" s="273"/>
      <c r="T701" s="273"/>
      <c r="U701" s="273"/>
      <c r="V701" s="273"/>
      <c r="W701" s="273"/>
    </row>
    <row r="702" spans="17:23">
      <c r="Q702" s="273"/>
      <c r="R702" s="273"/>
      <c r="S702" s="273"/>
      <c r="T702" s="273"/>
      <c r="U702" s="273"/>
      <c r="V702" s="273"/>
      <c r="W702" s="273"/>
    </row>
    <row r="703" spans="17:23">
      <c r="Q703" s="273"/>
      <c r="R703" s="273"/>
      <c r="S703" s="273"/>
      <c r="T703" s="273"/>
      <c r="U703" s="273"/>
      <c r="V703" s="273"/>
      <c r="W703" s="273"/>
    </row>
    <row r="704" spans="17:23">
      <c r="Q704" s="273"/>
      <c r="R704" s="273"/>
      <c r="S704" s="273"/>
      <c r="T704" s="273"/>
      <c r="U704" s="273"/>
      <c r="V704" s="273"/>
      <c r="W704" s="273"/>
    </row>
    <row r="705" spans="17:23">
      <c r="Q705" s="273"/>
      <c r="R705" s="273"/>
      <c r="S705" s="273"/>
      <c r="T705" s="273"/>
      <c r="U705" s="273"/>
      <c r="V705" s="273"/>
      <c r="W705" s="273"/>
    </row>
    <row r="706" spans="17:23">
      <c r="Q706" s="273"/>
      <c r="R706" s="273"/>
      <c r="S706" s="273"/>
      <c r="T706" s="273"/>
      <c r="U706" s="273"/>
      <c r="V706" s="273"/>
      <c r="W706" s="273"/>
    </row>
    <row r="707" spans="17:23">
      <c r="Q707" s="273"/>
      <c r="R707" s="273"/>
      <c r="S707" s="273"/>
      <c r="T707" s="273"/>
      <c r="U707" s="273"/>
      <c r="V707" s="273"/>
      <c r="W707" s="273"/>
    </row>
    <row r="708" spans="17:23">
      <c r="Q708" s="273"/>
      <c r="R708" s="273"/>
      <c r="S708" s="273"/>
      <c r="T708" s="273"/>
      <c r="U708" s="273"/>
      <c r="V708" s="273"/>
      <c r="W708" s="273"/>
    </row>
    <row r="709" spans="17:23">
      <c r="Q709" s="273"/>
      <c r="R709" s="273"/>
      <c r="S709" s="273"/>
      <c r="T709" s="273"/>
      <c r="U709" s="273"/>
      <c r="V709" s="273"/>
      <c r="W709" s="273"/>
    </row>
    <row r="710" spans="17:23">
      <c r="Q710" s="273"/>
      <c r="R710" s="273"/>
      <c r="S710" s="273"/>
      <c r="T710" s="273"/>
      <c r="U710" s="273"/>
      <c r="V710" s="273"/>
      <c r="W710" s="273"/>
    </row>
    <row r="711" spans="17:23">
      <c r="Q711" s="273"/>
      <c r="R711" s="273"/>
      <c r="S711" s="273"/>
      <c r="T711" s="273"/>
      <c r="U711" s="273"/>
      <c r="V711" s="273"/>
      <c r="W711" s="273"/>
    </row>
    <row r="712" spans="17:23">
      <c r="Q712" s="273"/>
      <c r="R712" s="273"/>
      <c r="S712" s="273"/>
      <c r="T712" s="273"/>
      <c r="U712" s="273"/>
      <c r="V712" s="273"/>
      <c r="W712" s="273"/>
    </row>
    <row r="713" spans="17:23">
      <c r="Q713" s="273"/>
      <c r="R713" s="273"/>
      <c r="S713" s="273"/>
      <c r="T713" s="273"/>
      <c r="U713" s="273"/>
      <c r="V713" s="273"/>
      <c r="W713" s="273"/>
    </row>
    <row r="714" spans="17:23">
      <c r="Q714" s="273"/>
      <c r="R714" s="273"/>
      <c r="S714" s="273"/>
      <c r="T714" s="273"/>
      <c r="U714" s="273"/>
      <c r="V714" s="273"/>
      <c r="W714" s="273"/>
    </row>
    <row r="715" spans="17:23">
      <c r="Q715" s="273"/>
      <c r="R715" s="273"/>
      <c r="S715" s="273"/>
      <c r="T715" s="273"/>
      <c r="U715" s="273"/>
      <c r="V715" s="273"/>
      <c r="W715" s="273"/>
    </row>
    <row r="716" spans="17:23">
      <c r="Q716" s="273"/>
      <c r="R716" s="273"/>
      <c r="S716" s="273"/>
      <c r="T716" s="273"/>
      <c r="U716" s="273"/>
      <c r="V716" s="273"/>
      <c r="W716" s="273"/>
    </row>
    <row r="717" spans="17:23">
      <c r="Q717" s="273"/>
      <c r="R717" s="273"/>
      <c r="S717" s="273"/>
      <c r="T717" s="273"/>
      <c r="U717" s="273"/>
      <c r="V717" s="273"/>
      <c r="W717" s="273"/>
    </row>
    <row r="718" spans="17:23">
      <c r="Q718" s="273"/>
      <c r="R718" s="273"/>
      <c r="S718" s="273"/>
      <c r="T718" s="273"/>
      <c r="U718" s="273"/>
      <c r="V718" s="273"/>
      <c r="W718" s="273"/>
    </row>
    <row r="719" spans="17:23">
      <c r="Q719" s="273"/>
      <c r="R719" s="273"/>
      <c r="S719" s="273"/>
      <c r="T719" s="273"/>
      <c r="U719" s="273"/>
      <c r="V719" s="273"/>
      <c r="W719" s="273"/>
    </row>
    <row r="720" spans="17:23">
      <c r="Q720" s="273"/>
      <c r="R720" s="273"/>
      <c r="S720" s="273"/>
      <c r="T720" s="273"/>
      <c r="U720" s="273"/>
      <c r="V720" s="273"/>
      <c r="W720" s="273"/>
    </row>
    <row r="721" spans="17:23">
      <c r="Q721" s="273"/>
      <c r="R721" s="273"/>
      <c r="S721" s="273"/>
      <c r="T721" s="273"/>
      <c r="U721" s="273"/>
      <c r="V721" s="273"/>
      <c r="W721" s="273"/>
    </row>
    <row r="722" spans="17:23">
      <c r="Q722" s="273"/>
      <c r="R722" s="273"/>
      <c r="S722" s="273"/>
      <c r="T722" s="273"/>
      <c r="U722" s="273"/>
      <c r="V722" s="273"/>
      <c r="W722" s="273"/>
    </row>
    <row r="723" spans="17:23">
      <c r="Q723" s="273"/>
      <c r="R723" s="273"/>
      <c r="S723" s="273"/>
      <c r="T723" s="273"/>
      <c r="U723" s="273"/>
      <c r="V723" s="273"/>
      <c r="W723" s="273"/>
    </row>
    <row r="724" spans="17:23">
      <c r="Q724" s="273"/>
      <c r="R724" s="273"/>
      <c r="S724" s="273"/>
      <c r="T724" s="273"/>
      <c r="U724" s="273"/>
      <c r="V724" s="273"/>
      <c r="W724" s="273"/>
    </row>
    <row r="725" spans="17:23">
      <c r="Q725" s="273"/>
      <c r="R725" s="273"/>
      <c r="S725" s="273"/>
      <c r="T725" s="273"/>
      <c r="U725" s="273"/>
      <c r="V725" s="273"/>
      <c r="W725" s="273"/>
    </row>
    <row r="726" spans="17:23">
      <c r="Q726" s="273"/>
      <c r="R726" s="273"/>
      <c r="S726" s="273"/>
      <c r="T726" s="273"/>
      <c r="U726" s="273"/>
      <c r="V726" s="273"/>
      <c r="W726" s="273"/>
    </row>
    <row r="727" spans="17:23">
      <c r="Q727" s="273"/>
      <c r="R727" s="273"/>
      <c r="S727" s="273"/>
      <c r="T727" s="273"/>
      <c r="U727" s="273"/>
      <c r="V727" s="273"/>
      <c r="W727" s="273"/>
    </row>
    <row r="728" spans="17:23">
      <c r="Q728" s="273"/>
      <c r="R728" s="273"/>
      <c r="S728" s="273"/>
      <c r="T728" s="273"/>
      <c r="U728" s="273"/>
      <c r="V728" s="273"/>
      <c r="W728" s="273"/>
    </row>
    <row r="729" spans="17:23">
      <c r="Q729" s="273"/>
      <c r="R729" s="273"/>
      <c r="S729" s="273"/>
      <c r="T729" s="273"/>
      <c r="U729" s="273"/>
      <c r="V729" s="273"/>
      <c r="W729" s="273"/>
    </row>
    <row r="730" spans="17:23">
      <c r="Q730" s="273"/>
      <c r="R730" s="273"/>
      <c r="S730" s="273"/>
      <c r="T730" s="273"/>
      <c r="U730" s="273"/>
      <c r="V730" s="273"/>
      <c r="W730" s="273"/>
    </row>
    <row r="731" spans="17:23">
      <c r="Q731" s="273"/>
      <c r="R731" s="273"/>
      <c r="S731" s="273"/>
      <c r="T731" s="273"/>
      <c r="U731" s="273"/>
      <c r="V731" s="273"/>
      <c r="W731" s="273"/>
    </row>
    <row r="732" spans="17:23">
      <c r="Q732" s="273"/>
      <c r="R732" s="273"/>
      <c r="S732" s="273"/>
      <c r="T732" s="273"/>
      <c r="U732" s="273"/>
      <c r="V732" s="273"/>
      <c r="W732" s="273"/>
    </row>
    <row r="733" spans="17:23">
      <c r="Q733" s="273"/>
      <c r="R733" s="273"/>
      <c r="S733" s="273"/>
      <c r="T733" s="273"/>
      <c r="U733" s="273"/>
      <c r="V733" s="273"/>
      <c r="W733" s="273"/>
    </row>
    <row r="734" spans="17:23">
      <c r="Q734" s="273"/>
      <c r="R734" s="273"/>
      <c r="S734" s="273"/>
      <c r="T734" s="273"/>
      <c r="U734" s="273"/>
      <c r="V734" s="273"/>
      <c r="W734" s="273"/>
    </row>
    <row r="735" spans="17:23">
      <c r="Q735" s="273"/>
      <c r="R735" s="273"/>
      <c r="S735" s="273"/>
      <c r="T735" s="273"/>
      <c r="U735" s="273"/>
      <c r="V735" s="273"/>
      <c r="W735" s="273"/>
    </row>
    <row r="736" spans="17:23">
      <c r="Q736" s="273"/>
      <c r="R736" s="273"/>
      <c r="S736" s="273"/>
      <c r="T736" s="273"/>
      <c r="U736" s="273"/>
      <c r="V736" s="273"/>
      <c r="W736" s="273"/>
    </row>
    <row r="737" spans="17:23">
      <c r="Q737" s="273"/>
      <c r="R737" s="273"/>
      <c r="S737" s="273"/>
      <c r="T737" s="273"/>
      <c r="U737" s="273"/>
      <c r="V737" s="273"/>
      <c r="W737" s="273"/>
    </row>
    <row r="738" spans="17:23">
      <c r="Q738" s="273"/>
      <c r="R738" s="273"/>
      <c r="S738" s="273"/>
      <c r="T738" s="273"/>
      <c r="U738" s="273"/>
      <c r="V738" s="273"/>
      <c r="W738" s="273"/>
    </row>
    <row r="739" spans="17:23">
      <c r="Q739" s="273"/>
      <c r="R739" s="273"/>
      <c r="S739" s="273"/>
      <c r="T739" s="273"/>
      <c r="U739" s="273"/>
      <c r="V739" s="273"/>
      <c r="W739" s="273"/>
    </row>
    <row r="740" spans="17:23">
      <c r="Q740" s="273"/>
      <c r="R740" s="273"/>
      <c r="S740" s="273"/>
      <c r="T740" s="273"/>
      <c r="U740" s="273"/>
      <c r="V740" s="273"/>
      <c r="W740" s="273"/>
    </row>
    <row r="741" spans="17:23">
      <c r="Q741" s="273"/>
      <c r="R741" s="273"/>
      <c r="S741" s="273"/>
      <c r="T741" s="273"/>
      <c r="U741" s="273"/>
      <c r="V741" s="273"/>
      <c r="W741" s="273"/>
    </row>
    <row r="742" spans="17:23">
      <c r="Q742" s="273"/>
      <c r="R742" s="273"/>
      <c r="S742" s="273"/>
      <c r="T742" s="273"/>
      <c r="U742" s="273"/>
      <c r="V742" s="273"/>
      <c r="W742" s="273"/>
    </row>
    <row r="743" spans="17:23">
      <c r="Q743" s="273"/>
      <c r="R743" s="273"/>
      <c r="S743" s="273"/>
      <c r="T743" s="273"/>
      <c r="U743" s="273"/>
      <c r="V743" s="273"/>
      <c r="W743" s="273"/>
    </row>
    <row r="744" spans="17:23">
      <c r="Q744" s="273"/>
      <c r="R744" s="273"/>
      <c r="S744" s="273"/>
      <c r="T744" s="273"/>
      <c r="U744" s="273"/>
      <c r="V744" s="273"/>
      <c r="W744" s="273"/>
    </row>
    <row r="745" spans="17:23">
      <c r="Q745" s="273"/>
      <c r="R745" s="273"/>
      <c r="S745" s="273"/>
      <c r="T745" s="273"/>
      <c r="U745" s="273"/>
      <c r="V745" s="273"/>
      <c r="W745" s="273"/>
    </row>
    <row r="746" spans="17:23">
      <c r="Q746" s="273"/>
      <c r="R746" s="273"/>
      <c r="S746" s="273"/>
      <c r="T746" s="273"/>
      <c r="U746" s="273"/>
      <c r="V746" s="273"/>
      <c r="W746" s="273"/>
    </row>
    <row r="747" spans="17:23">
      <c r="Q747" s="273"/>
      <c r="R747" s="273"/>
      <c r="S747" s="273"/>
      <c r="T747" s="273"/>
      <c r="U747" s="273"/>
      <c r="V747" s="273"/>
      <c r="W747" s="273"/>
    </row>
    <row r="748" spans="17:23">
      <c r="Q748" s="273"/>
      <c r="R748" s="273"/>
      <c r="S748" s="273"/>
      <c r="T748" s="273"/>
      <c r="U748" s="273"/>
      <c r="V748" s="273"/>
      <c r="W748" s="273"/>
    </row>
    <row r="749" spans="17:23">
      <c r="Q749" s="273"/>
      <c r="R749" s="273"/>
      <c r="S749" s="273"/>
      <c r="T749" s="273"/>
      <c r="U749" s="273"/>
      <c r="V749" s="273"/>
      <c r="W749" s="273"/>
    </row>
    <row r="750" spans="17:23">
      <c r="Q750" s="273"/>
      <c r="R750" s="273"/>
      <c r="S750" s="273"/>
      <c r="T750" s="273"/>
      <c r="U750" s="273"/>
      <c r="V750" s="273"/>
      <c r="W750" s="273"/>
    </row>
    <row r="751" spans="17:23">
      <c r="Q751" s="273"/>
      <c r="R751" s="273"/>
      <c r="S751" s="273"/>
      <c r="T751" s="273"/>
      <c r="U751" s="273"/>
      <c r="V751" s="273"/>
      <c r="W751" s="273"/>
    </row>
    <row r="752" spans="17:23">
      <c r="Q752" s="273"/>
      <c r="R752" s="273"/>
      <c r="S752" s="273"/>
      <c r="T752" s="273"/>
      <c r="U752" s="273"/>
      <c r="V752" s="273"/>
      <c r="W752" s="273"/>
    </row>
    <row r="753" spans="17:23">
      <c r="Q753" s="273"/>
      <c r="R753" s="273"/>
      <c r="S753" s="273"/>
      <c r="T753" s="273"/>
      <c r="U753" s="273"/>
      <c r="V753" s="273"/>
      <c r="W753" s="273"/>
    </row>
    <row r="754" spans="17:23">
      <c r="Q754" s="273"/>
      <c r="R754" s="273"/>
      <c r="S754" s="273"/>
      <c r="T754" s="273"/>
      <c r="U754" s="273"/>
      <c r="V754" s="273"/>
      <c r="W754" s="273"/>
    </row>
    <row r="755" spans="17:23">
      <c r="Q755" s="273"/>
      <c r="R755" s="273"/>
      <c r="S755" s="273"/>
      <c r="T755" s="273"/>
      <c r="U755" s="273"/>
      <c r="V755" s="273"/>
      <c r="W755" s="273"/>
    </row>
    <row r="756" spans="17:23">
      <c r="Q756" s="273"/>
      <c r="R756" s="273"/>
      <c r="S756" s="273"/>
      <c r="T756" s="273"/>
      <c r="U756" s="273"/>
      <c r="V756" s="273"/>
      <c r="W756" s="273"/>
    </row>
    <row r="757" spans="17:23">
      <c r="Q757" s="273"/>
      <c r="R757" s="273"/>
      <c r="S757" s="273"/>
      <c r="T757" s="273"/>
      <c r="U757" s="273"/>
      <c r="V757" s="273"/>
      <c r="W757" s="273"/>
    </row>
    <row r="758" spans="17:23">
      <c r="Q758" s="273"/>
      <c r="R758" s="273"/>
      <c r="S758" s="273"/>
      <c r="T758" s="273"/>
      <c r="U758" s="273"/>
      <c r="V758" s="273"/>
      <c r="W758" s="273"/>
    </row>
    <row r="759" spans="17:23">
      <c r="Q759" s="273"/>
      <c r="R759" s="273"/>
      <c r="S759" s="273"/>
      <c r="T759" s="273"/>
      <c r="U759" s="273"/>
      <c r="V759" s="273"/>
      <c r="W759" s="273"/>
    </row>
    <row r="760" spans="17:23">
      <c r="Q760" s="273"/>
      <c r="R760" s="273"/>
      <c r="S760" s="273"/>
      <c r="T760" s="273"/>
      <c r="U760" s="273"/>
      <c r="V760" s="273"/>
      <c r="W760" s="273"/>
    </row>
    <row r="761" spans="17:23">
      <c r="Q761" s="273"/>
      <c r="R761" s="273"/>
      <c r="S761" s="273"/>
      <c r="T761" s="273"/>
      <c r="U761" s="273"/>
      <c r="V761" s="273"/>
      <c r="W761" s="273"/>
    </row>
    <row r="762" spans="17:23">
      <c r="Q762" s="273"/>
      <c r="R762" s="273"/>
      <c r="S762" s="273"/>
      <c r="T762" s="273"/>
      <c r="U762" s="273"/>
      <c r="V762" s="273"/>
      <c r="W762" s="273"/>
    </row>
    <row r="763" spans="17:23">
      <c r="Q763" s="273"/>
      <c r="R763" s="273"/>
      <c r="S763" s="273"/>
      <c r="T763" s="273"/>
      <c r="U763" s="273"/>
      <c r="V763" s="273"/>
      <c r="W763" s="273"/>
    </row>
    <row r="764" spans="17:23">
      <c r="Q764" s="273"/>
      <c r="R764" s="273"/>
      <c r="S764" s="273"/>
      <c r="T764" s="273"/>
      <c r="U764" s="273"/>
      <c r="V764" s="273"/>
      <c r="W764" s="273"/>
    </row>
    <row r="765" spans="17:23">
      <c r="Q765" s="273"/>
      <c r="R765" s="273"/>
      <c r="S765" s="273"/>
      <c r="T765" s="273"/>
      <c r="U765" s="273"/>
      <c r="V765" s="273"/>
      <c r="W765" s="273"/>
    </row>
    <row r="766" spans="17:23">
      <c r="Q766" s="273"/>
      <c r="R766" s="273"/>
      <c r="S766" s="273"/>
      <c r="T766" s="273"/>
      <c r="U766" s="273"/>
      <c r="V766" s="273"/>
      <c r="W766" s="273"/>
    </row>
    <row r="767" spans="17:23">
      <c r="Q767" s="273"/>
      <c r="R767" s="273"/>
      <c r="S767" s="273"/>
      <c r="T767" s="273"/>
      <c r="U767" s="273"/>
      <c r="V767" s="273"/>
      <c r="W767" s="273"/>
    </row>
    <row r="768" spans="17:23">
      <c r="Q768" s="273"/>
      <c r="R768" s="273"/>
      <c r="S768" s="273"/>
      <c r="T768" s="273"/>
      <c r="U768" s="273"/>
      <c r="V768" s="273"/>
      <c r="W768" s="273"/>
    </row>
    <row r="769" spans="17:23">
      <c r="Q769" s="273"/>
      <c r="R769" s="273"/>
      <c r="S769" s="273"/>
      <c r="T769" s="273"/>
      <c r="U769" s="273"/>
      <c r="V769" s="273"/>
      <c r="W769" s="273"/>
    </row>
    <row r="770" spans="17:23">
      <c r="Q770" s="273"/>
      <c r="R770" s="273"/>
      <c r="S770" s="273"/>
      <c r="T770" s="273"/>
      <c r="U770" s="273"/>
      <c r="V770" s="273"/>
      <c r="W770" s="273"/>
    </row>
    <row r="771" spans="17:23">
      <c r="Q771" s="273"/>
      <c r="R771" s="273"/>
      <c r="S771" s="273"/>
      <c r="T771" s="273"/>
      <c r="U771" s="273"/>
      <c r="V771" s="273"/>
      <c r="W771" s="273"/>
    </row>
    <row r="772" spans="17:23">
      <c r="Q772" s="273"/>
      <c r="R772" s="273"/>
      <c r="S772" s="273"/>
      <c r="T772" s="273"/>
      <c r="U772" s="273"/>
      <c r="V772" s="273"/>
      <c r="W772" s="273"/>
    </row>
    <row r="773" spans="17:23">
      <c r="Q773" s="273"/>
      <c r="R773" s="273"/>
      <c r="S773" s="273"/>
      <c r="T773" s="273"/>
      <c r="U773" s="273"/>
      <c r="V773" s="273"/>
      <c r="W773" s="273"/>
    </row>
    <row r="774" spans="17:23">
      <c r="Q774" s="273"/>
      <c r="R774" s="273"/>
      <c r="S774" s="273"/>
      <c r="T774" s="273"/>
      <c r="U774" s="273"/>
      <c r="V774" s="273"/>
      <c r="W774" s="273"/>
    </row>
    <row r="775" spans="17:23">
      <c r="Q775" s="273"/>
      <c r="R775" s="273"/>
      <c r="S775" s="273"/>
      <c r="T775" s="273"/>
      <c r="U775" s="273"/>
      <c r="V775" s="273"/>
      <c r="W775" s="273"/>
    </row>
    <row r="776" spans="17:23">
      <c r="Q776" s="273"/>
      <c r="R776" s="273"/>
      <c r="S776" s="273"/>
      <c r="T776" s="273"/>
      <c r="U776" s="273"/>
      <c r="V776" s="273"/>
      <c r="W776" s="273"/>
    </row>
    <row r="777" spans="17:23">
      <c r="Q777" s="273"/>
      <c r="R777" s="273"/>
      <c r="S777" s="273"/>
      <c r="T777" s="273"/>
      <c r="U777" s="273"/>
      <c r="V777" s="273"/>
      <c r="W777" s="273"/>
    </row>
    <row r="778" spans="17:23">
      <c r="Q778" s="273"/>
      <c r="R778" s="273"/>
      <c r="S778" s="273"/>
      <c r="T778" s="273"/>
      <c r="U778" s="273"/>
      <c r="V778" s="273"/>
      <c r="W778" s="273"/>
    </row>
    <row r="779" spans="17:23">
      <c r="Q779" s="273"/>
      <c r="R779" s="273"/>
      <c r="S779" s="273"/>
      <c r="T779" s="273"/>
      <c r="U779" s="273"/>
      <c r="V779" s="273"/>
      <c r="W779" s="273"/>
    </row>
    <row r="780" spans="17:23">
      <c r="Q780" s="273"/>
      <c r="R780" s="273"/>
      <c r="S780" s="273"/>
      <c r="T780" s="273"/>
      <c r="U780" s="273"/>
      <c r="V780" s="273"/>
      <c r="W780" s="273"/>
    </row>
    <row r="781" spans="17:23">
      <c r="Q781" s="273"/>
      <c r="R781" s="273"/>
      <c r="S781" s="273"/>
      <c r="T781" s="273"/>
      <c r="U781" s="273"/>
      <c r="V781" s="273"/>
      <c r="W781" s="273"/>
    </row>
    <row r="782" spans="17:23">
      <c r="Q782" s="273"/>
      <c r="R782" s="273"/>
      <c r="S782" s="273"/>
      <c r="T782" s="273"/>
      <c r="U782" s="273"/>
      <c r="V782" s="273"/>
      <c r="W782" s="273"/>
    </row>
    <row r="783" spans="17:23">
      <c r="Q783" s="273"/>
      <c r="R783" s="273"/>
      <c r="S783" s="273"/>
      <c r="T783" s="273"/>
      <c r="U783" s="273"/>
      <c r="V783" s="273"/>
      <c r="W783" s="273"/>
    </row>
    <row r="784" spans="17:23">
      <c r="Q784" s="273"/>
      <c r="R784" s="273"/>
      <c r="S784" s="273"/>
      <c r="T784" s="273"/>
      <c r="U784" s="273"/>
      <c r="V784" s="273"/>
      <c r="W784" s="273"/>
    </row>
    <row r="785" spans="17:23">
      <c r="Q785" s="273"/>
      <c r="R785" s="273"/>
      <c r="S785" s="273"/>
      <c r="T785" s="273"/>
      <c r="U785" s="273"/>
      <c r="V785" s="273"/>
      <c r="W785" s="273"/>
    </row>
    <row r="786" spans="17:23">
      <c r="Q786" s="273"/>
      <c r="R786" s="273"/>
      <c r="S786" s="273"/>
      <c r="T786" s="273"/>
      <c r="U786" s="273"/>
      <c r="V786" s="273"/>
      <c r="W786" s="273"/>
    </row>
    <row r="787" spans="17:23">
      <c r="Q787" s="273"/>
      <c r="R787" s="273"/>
      <c r="S787" s="273"/>
      <c r="T787" s="273"/>
      <c r="U787" s="273"/>
      <c r="V787" s="273"/>
      <c r="W787" s="273"/>
    </row>
    <row r="788" spans="17:23">
      <c r="Q788" s="273"/>
      <c r="R788" s="273"/>
      <c r="S788" s="273"/>
      <c r="T788" s="273"/>
      <c r="U788" s="273"/>
      <c r="V788" s="273"/>
      <c r="W788" s="273"/>
    </row>
    <row r="789" spans="17:23">
      <c r="Q789" s="273"/>
      <c r="R789" s="273"/>
      <c r="S789" s="273"/>
      <c r="T789" s="273"/>
      <c r="U789" s="273"/>
      <c r="V789" s="273"/>
      <c r="W789" s="273"/>
    </row>
    <row r="790" spans="17:23">
      <c r="Q790" s="273"/>
      <c r="R790" s="273"/>
      <c r="S790" s="273"/>
      <c r="T790" s="273"/>
      <c r="U790" s="273"/>
      <c r="V790" s="273"/>
      <c r="W790" s="273"/>
    </row>
    <row r="791" spans="17:23">
      <c r="Q791" s="273"/>
      <c r="R791" s="273"/>
      <c r="S791" s="273"/>
      <c r="T791" s="273"/>
      <c r="U791" s="273"/>
      <c r="V791" s="273"/>
      <c r="W791" s="273"/>
    </row>
    <row r="792" spans="17:23">
      <c r="Q792" s="273"/>
      <c r="R792" s="273"/>
      <c r="S792" s="273"/>
      <c r="T792" s="273"/>
      <c r="U792" s="273"/>
      <c r="V792" s="273"/>
      <c r="W792" s="273"/>
    </row>
    <row r="793" spans="17:23">
      <c r="Q793" s="273"/>
      <c r="R793" s="273"/>
      <c r="S793" s="273"/>
      <c r="T793" s="273"/>
      <c r="U793" s="273"/>
      <c r="V793" s="273"/>
      <c r="W793" s="273"/>
    </row>
    <row r="794" spans="17:23">
      <c r="Q794" s="273"/>
      <c r="R794" s="273"/>
      <c r="S794" s="273"/>
      <c r="T794" s="273"/>
      <c r="U794" s="273"/>
      <c r="V794" s="273"/>
      <c r="W794" s="273"/>
    </row>
    <row r="795" spans="17:23">
      <c r="Q795" s="273"/>
      <c r="R795" s="273"/>
      <c r="S795" s="273"/>
      <c r="T795" s="273"/>
      <c r="U795" s="273"/>
      <c r="V795" s="273"/>
      <c r="W795" s="273"/>
    </row>
    <row r="796" spans="17:23">
      <c r="Q796" s="273"/>
      <c r="R796" s="273"/>
      <c r="S796" s="273"/>
      <c r="T796" s="273"/>
      <c r="U796" s="273"/>
      <c r="V796" s="273"/>
      <c r="W796" s="273"/>
    </row>
    <row r="797" spans="17:23">
      <c r="Q797" s="273"/>
      <c r="R797" s="273"/>
      <c r="S797" s="273"/>
      <c r="T797" s="273"/>
      <c r="U797" s="273"/>
      <c r="V797" s="273"/>
      <c r="W797" s="273"/>
    </row>
    <row r="798" spans="17:23">
      <c r="Q798" s="273"/>
      <c r="R798" s="273"/>
      <c r="S798" s="273"/>
      <c r="T798" s="273"/>
      <c r="U798" s="273"/>
      <c r="V798" s="273"/>
      <c r="W798" s="273"/>
    </row>
    <row r="799" spans="17:23">
      <c r="Q799" s="273"/>
      <c r="R799" s="273"/>
      <c r="S799" s="273"/>
      <c r="T799" s="273"/>
      <c r="U799" s="273"/>
      <c r="V799" s="273"/>
      <c r="W799" s="273"/>
    </row>
    <row r="800" spans="17:23">
      <c r="Q800" s="273"/>
      <c r="R800" s="273"/>
      <c r="S800" s="273"/>
      <c r="T800" s="273"/>
      <c r="U800" s="273"/>
      <c r="V800" s="273"/>
      <c r="W800" s="273"/>
    </row>
    <row r="801" spans="17:23">
      <c r="Q801" s="273"/>
      <c r="R801" s="273"/>
      <c r="S801" s="273"/>
      <c r="T801" s="273"/>
      <c r="U801" s="273"/>
      <c r="V801" s="273"/>
      <c r="W801" s="273"/>
    </row>
    <row r="802" spans="17:23">
      <c r="Q802" s="273"/>
      <c r="R802" s="273"/>
      <c r="S802" s="273"/>
      <c r="T802" s="273"/>
      <c r="U802" s="273"/>
      <c r="V802" s="273"/>
      <c r="W802" s="273"/>
    </row>
  </sheetData>
  <sheetProtection formatCells="0" formatColumns="0" formatRows="0" insertColumns="0" insertRows="0" insertHyperlinks="0" deleteColumns="0" deleteRows="0" sort="0" autoFilter="0" pivotTables="0"/>
  <mergeCells count="43">
    <mergeCell ref="D66:Z66"/>
    <mergeCell ref="D6:D10"/>
    <mergeCell ref="D65:Z65"/>
    <mergeCell ref="D64:Z64"/>
    <mergeCell ref="D62:Z62"/>
    <mergeCell ref="K6:L6"/>
    <mergeCell ref="U6:U10"/>
    <mergeCell ref="D63:Z63"/>
    <mergeCell ref="A60:X60"/>
    <mergeCell ref="Y6:Y10"/>
    <mergeCell ref="Q6:R6"/>
    <mergeCell ref="AK65:AM65"/>
    <mergeCell ref="AI6:AI10"/>
    <mergeCell ref="V6:V10"/>
    <mergeCell ref="AE7:AF7"/>
    <mergeCell ref="AD8:AD10"/>
    <mergeCell ref="Z6:Z10"/>
    <mergeCell ref="AE8:AE10"/>
    <mergeCell ref="AG8:AG10"/>
    <mergeCell ref="X6:X10"/>
    <mergeCell ref="W6:W10"/>
    <mergeCell ref="AC8:AC10"/>
    <mergeCell ref="AA7:AB7"/>
    <mergeCell ref="AG7:AH7"/>
    <mergeCell ref="AC7:AD7"/>
    <mergeCell ref="AB8:AB10"/>
    <mergeCell ref="AH8:AH10"/>
    <mergeCell ref="A1:AI1"/>
    <mergeCell ref="A3:AI3"/>
    <mergeCell ref="A4:AI4"/>
    <mergeCell ref="E5:U5"/>
    <mergeCell ref="A6:A10"/>
    <mergeCell ref="AF8:AF10"/>
    <mergeCell ref="B6:B10"/>
    <mergeCell ref="AA8:AA10"/>
    <mergeCell ref="O6:P6"/>
    <mergeCell ref="G6:H6"/>
    <mergeCell ref="E6:F6"/>
    <mergeCell ref="C6:C10"/>
    <mergeCell ref="M6:N6"/>
    <mergeCell ref="I6:J6"/>
    <mergeCell ref="S6:T6"/>
    <mergeCell ref="AA6:AH6"/>
  </mergeCells>
  <phoneticPr fontId="77" type="noConversion"/>
  <printOptions horizontalCentered="1" verticalCentered="1"/>
  <pageMargins left="0.39370078740157483" right="0.39370078740157483" top="0.39370078740157483" bottom="0.39370078740157483" header="0" footer="0.39370078740157483"/>
  <pageSetup scale="48" fitToHeight="3" orientation="portrait" horizontalDpi="1200" verticalDpi="1200" r:id="rId1"/>
  <headerFooter alignWithMargins="0">
    <oddFooter>&amp;R&amp;P/&amp;N</oddFooter>
  </headerFooter>
  <rowBreaks count="2" manualBreakCount="2">
    <brk id="63" min="2" max="38" man="1"/>
    <brk id="88" min="2" max="36" man="1"/>
  </rowBreaks>
  <colBreaks count="1" manualBreakCount="1">
    <brk id="23" max="83"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D64"/>
  <sheetViews>
    <sheetView showGridLines="0" zoomScale="70" zoomScaleNormal="70" workbookViewId="0">
      <selection activeCell="CH40" sqref="CH40"/>
    </sheetView>
  </sheetViews>
  <sheetFormatPr baseColWidth="10" defaultColWidth="12" defaultRowHeight="12.75"/>
  <cols>
    <col min="1" max="1" width="7.83203125" style="290" customWidth="1"/>
    <col min="2" max="2" width="47.33203125" style="288" customWidth="1"/>
    <col min="3" max="3" width="22" style="290" customWidth="1"/>
    <col min="4" max="4" width="26.83203125" style="290" customWidth="1"/>
    <col min="5" max="5" width="21.6640625" style="288" customWidth="1"/>
    <col min="6" max="6" width="13.83203125" style="290" customWidth="1"/>
    <col min="7" max="7" width="27.1640625" style="290" customWidth="1"/>
    <col min="8" max="8" width="22.83203125" style="290" customWidth="1"/>
    <col min="9" max="10" width="22.83203125" style="291" customWidth="1"/>
    <col min="11" max="11" width="20.33203125" style="290" customWidth="1"/>
    <col min="12" max="12" width="19.33203125" style="290" customWidth="1"/>
    <col min="13" max="13" width="31.1640625" style="288" customWidth="1"/>
    <col min="14" max="14" width="20.83203125" style="288" customWidth="1"/>
    <col min="15" max="15" width="4" style="288" customWidth="1"/>
    <col min="16" max="16" width="22.1640625" style="288" customWidth="1"/>
    <col min="17" max="21" width="14.33203125" style="288" customWidth="1"/>
    <col min="22" max="23" width="16.1640625" style="288" customWidth="1"/>
    <col min="24" max="24" width="3.33203125" style="288" customWidth="1"/>
    <col min="25" max="29" width="14.33203125" style="288" customWidth="1"/>
    <col min="30" max="30" width="15.83203125" style="288" customWidth="1"/>
    <col min="31" max="32" width="13.33203125" style="288" customWidth="1"/>
    <col min="33" max="33" width="7.1640625" style="288" customWidth="1"/>
    <col min="34" max="41" width="13.33203125" style="288" customWidth="1"/>
    <col min="42" max="42" width="3.33203125" style="288" customWidth="1"/>
    <col min="43" max="46" width="14.33203125" style="288" customWidth="1"/>
    <col min="47" max="47" width="13.1640625" style="290" customWidth="1"/>
    <col min="48" max="48" width="18.83203125" style="288" customWidth="1"/>
    <col min="49" max="50" width="17.33203125" style="288" customWidth="1"/>
    <col min="51" max="51" width="4.6640625" style="288" customWidth="1"/>
    <col min="52" max="59" width="17.33203125" style="288" customWidth="1"/>
    <col min="60" max="60" width="5" style="288" customWidth="1"/>
    <col min="61" max="61" width="3.1640625" style="288" customWidth="1"/>
    <col min="62" max="62" width="24" style="288" customWidth="1"/>
    <col min="63" max="63" width="2.83203125" style="288" customWidth="1"/>
    <col min="64" max="66" width="14" style="288" customWidth="1"/>
    <col min="67" max="67" width="13.33203125" style="288" customWidth="1"/>
    <col min="68" max="68" width="14.33203125" style="288" customWidth="1"/>
    <col min="69" max="69" width="15.1640625" style="288" customWidth="1"/>
    <col min="70" max="71" width="12" style="288" customWidth="1"/>
    <col min="72" max="72" width="3.33203125" style="288" customWidth="1"/>
    <col min="73" max="73" width="27.1640625" style="288" customWidth="1"/>
    <col min="74" max="74" width="6.83203125" style="288" customWidth="1"/>
    <col min="75" max="82" width="12" style="288"/>
    <col min="83" max="83" width="4.6640625" style="288" customWidth="1"/>
    <col min="84" max="16384" width="12" style="288"/>
  </cols>
  <sheetData>
    <row r="1" spans="1:82" ht="42" customHeight="1">
      <c r="A1" s="1284" t="s">
        <v>344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c r="AO1" s="1284"/>
      <c r="AP1" s="1284"/>
      <c r="AQ1" s="1284"/>
      <c r="AR1" s="1284"/>
      <c r="AS1" s="1284"/>
      <c r="AT1" s="1284"/>
      <c r="AU1" s="1284"/>
      <c r="AV1" s="1284"/>
      <c r="AW1" s="1284"/>
      <c r="AX1" s="1284"/>
      <c r="AY1" s="1284"/>
      <c r="AZ1" s="1284"/>
      <c r="BA1" s="1284"/>
      <c r="BB1" s="1284"/>
      <c r="BC1" s="1284"/>
      <c r="BD1" s="1284"/>
      <c r="BE1" s="1284"/>
      <c r="BF1" s="1284"/>
      <c r="BG1" s="1284"/>
      <c r="BH1" s="1284"/>
      <c r="BI1" s="1284"/>
      <c r="BJ1" s="1284"/>
      <c r="BK1" s="1284"/>
      <c r="BL1" s="1284"/>
      <c r="BM1" s="1284"/>
      <c r="BN1" s="1284"/>
      <c r="BO1" s="1284"/>
      <c r="BP1" s="1284"/>
      <c r="BQ1" s="1284"/>
      <c r="BR1" s="1284"/>
      <c r="BS1" s="1284"/>
      <c r="BT1" s="1284"/>
    </row>
    <row r="2" spans="1:82" ht="42" customHeight="1">
      <c r="A2" s="289"/>
      <c r="O2" s="292"/>
      <c r="P2" s="1265" t="s">
        <v>247</v>
      </c>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G2" s="1265"/>
      <c r="BH2" s="1265"/>
      <c r="BI2" s="1265"/>
      <c r="BJ2" s="1265"/>
      <c r="BK2" s="1265"/>
      <c r="BL2" s="1265"/>
      <c r="BM2" s="1265"/>
      <c r="BN2" s="1265"/>
      <c r="BO2" s="1265"/>
      <c r="BP2" s="1265"/>
      <c r="BQ2" s="1265"/>
      <c r="BR2" s="1265"/>
      <c r="BS2" s="1265"/>
      <c r="BT2" s="323"/>
      <c r="BU2" s="323"/>
      <c r="BV2" s="323"/>
      <c r="BW2" s="323"/>
      <c r="BX2" s="323"/>
      <c r="BY2" s="323"/>
      <c r="BZ2" s="323"/>
      <c r="CA2" s="323"/>
      <c r="CB2" s="323"/>
      <c r="CC2" s="323"/>
      <c r="CD2" s="323"/>
    </row>
    <row r="3" spans="1:82" s="294" customFormat="1" ht="42" customHeight="1">
      <c r="A3" s="1277" t="s">
        <v>345</v>
      </c>
      <c r="B3" s="1277" t="s">
        <v>346</v>
      </c>
      <c r="C3" s="1277" t="s">
        <v>347</v>
      </c>
      <c r="D3" s="1277" t="s">
        <v>348</v>
      </c>
      <c r="E3" s="1277" t="s">
        <v>349</v>
      </c>
      <c r="F3" s="1277" t="s">
        <v>350</v>
      </c>
      <c r="G3" s="1277" t="s">
        <v>351</v>
      </c>
      <c r="H3" s="1263" t="s">
        <v>352</v>
      </c>
      <c r="I3" s="1283" t="s">
        <v>353</v>
      </c>
      <c r="J3" s="1283" t="s">
        <v>354</v>
      </c>
      <c r="K3" s="1277" t="s">
        <v>355</v>
      </c>
      <c r="L3" s="1277" t="s">
        <v>356</v>
      </c>
      <c r="M3" s="1277" t="s">
        <v>357</v>
      </c>
      <c r="N3" s="1277" t="s">
        <v>358</v>
      </c>
      <c r="O3" s="293"/>
      <c r="P3" s="1279" t="s">
        <v>359</v>
      </c>
      <c r="Q3" s="1279"/>
      <c r="R3" s="1279"/>
      <c r="S3" s="1279"/>
      <c r="T3" s="1279"/>
      <c r="U3" s="1279"/>
      <c r="V3" s="1279"/>
      <c r="W3" s="1279"/>
      <c r="X3" s="307"/>
      <c r="Y3" s="1279" t="s">
        <v>360</v>
      </c>
      <c r="Z3" s="1279"/>
      <c r="AA3" s="1279"/>
      <c r="AB3" s="1279"/>
      <c r="AC3" s="1279"/>
      <c r="AD3" s="1279"/>
      <c r="AE3" s="1279"/>
      <c r="AF3" s="1279"/>
      <c r="AG3" s="307"/>
      <c r="AH3" s="1279" t="s">
        <v>361</v>
      </c>
      <c r="AI3" s="1279"/>
      <c r="AJ3" s="1279"/>
      <c r="AK3" s="1279"/>
      <c r="AL3" s="1279"/>
      <c r="AM3" s="1279"/>
      <c r="AN3" s="1279"/>
      <c r="AO3" s="1279"/>
      <c r="AP3" s="307"/>
      <c r="AQ3" s="1279" t="s">
        <v>362</v>
      </c>
      <c r="AR3" s="1279"/>
      <c r="AS3" s="1279"/>
      <c r="AT3" s="1279"/>
      <c r="AU3" s="1279"/>
      <c r="AV3" s="1279"/>
      <c r="AW3" s="1279"/>
      <c r="AX3" s="1279"/>
      <c r="AY3" s="307"/>
      <c r="AZ3" s="1279" t="s">
        <v>363</v>
      </c>
      <c r="BA3" s="1279"/>
      <c r="BB3" s="1279"/>
      <c r="BC3" s="1279"/>
      <c r="BD3" s="1279"/>
      <c r="BE3" s="1279"/>
      <c r="BF3" s="1279"/>
      <c r="BG3" s="1279"/>
      <c r="BH3" s="307"/>
      <c r="BI3" s="307"/>
      <c r="BJ3" s="1277" t="s">
        <v>364</v>
      </c>
      <c r="BK3" s="307"/>
      <c r="BL3" s="1279" t="s">
        <v>365</v>
      </c>
      <c r="BM3" s="1279"/>
      <c r="BN3" s="1279"/>
      <c r="BO3" s="1279"/>
      <c r="BP3" s="1279"/>
      <c r="BQ3" s="1279"/>
      <c r="BR3" s="1279"/>
      <c r="BS3" s="1279"/>
      <c r="BT3" s="307"/>
      <c r="BU3" s="306" t="s">
        <v>366</v>
      </c>
      <c r="BV3" s="1041"/>
      <c r="BW3" s="1279" t="s">
        <v>367</v>
      </c>
      <c r="BX3" s="1279"/>
      <c r="BY3" s="1279"/>
      <c r="BZ3" s="1279"/>
      <c r="CA3" s="1279"/>
      <c r="CB3" s="1279"/>
      <c r="CC3" s="1279"/>
      <c r="CD3" s="1279"/>
    </row>
    <row r="4" spans="1:82" s="295" customFormat="1" ht="42" customHeight="1">
      <c r="A4" s="1277"/>
      <c r="B4" s="1277"/>
      <c r="C4" s="1277"/>
      <c r="D4" s="1277"/>
      <c r="E4" s="1277"/>
      <c r="F4" s="1277"/>
      <c r="G4" s="1277"/>
      <c r="H4" s="1264"/>
      <c r="I4" s="1283"/>
      <c r="J4" s="1283"/>
      <c r="K4" s="1277"/>
      <c r="L4" s="1277"/>
      <c r="M4" s="1277"/>
      <c r="N4" s="1277"/>
      <c r="O4" s="293"/>
      <c r="P4" s="306" t="s">
        <v>266</v>
      </c>
      <c r="Q4" s="308" t="s">
        <v>267</v>
      </c>
      <c r="R4" s="309" t="s">
        <v>268</v>
      </c>
      <c r="S4" s="310" t="s">
        <v>269</v>
      </c>
      <c r="T4" s="311" t="s">
        <v>270</v>
      </c>
      <c r="U4" s="312" t="s">
        <v>271</v>
      </c>
      <c r="V4" s="312" t="s">
        <v>272</v>
      </c>
      <c r="W4" s="312" t="s">
        <v>273</v>
      </c>
      <c r="X4" s="307"/>
      <c r="Y4" s="306" t="s">
        <v>266</v>
      </c>
      <c r="Z4" s="308" t="s">
        <v>267</v>
      </c>
      <c r="AA4" s="309" t="s">
        <v>268</v>
      </c>
      <c r="AB4" s="310" t="s">
        <v>269</v>
      </c>
      <c r="AC4" s="311" t="s">
        <v>270</v>
      </c>
      <c r="AD4" s="312" t="s">
        <v>271</v>
      </c>
      <c r="AE4" s="312" t="s">
        <v>272</v>
      </c>
      <c r="AF4" s="312" t="s">
        <v>273</v>
      </c>
      <c r="AG4" s="307"/>
      <c r="AH4" s="306" t="s">
        <v>266</v>
      </c>
      <c r="AI4" s="308" t="s">
        <v>267</v>
      </c>
      <c r="AJ4" s="309" t="s">
        <v>268</v>
      </c>
      <c r="AK4" s="310" t="s">
        <v>269</v>
      </c>
      <c r="AL4" s="311" t="s">
        <v>270</v>
      </c>
      <c r="AM4" s="312" t="s">
        <v>271</v>
      </c>
      <c r="AN4" s="312" t="s">
        <v>272</v>
      </c>
      <c r="AO4" s="312" t="s">
        <v>273</v>
      </c>
      <c r="AP4" s="307"/>
      <c r="AQ4" s="306" t="s">
        <v>266</v>
      </c>
      <c r="AR4" s="308" t="s">
        <v>267</v>
      </c>
      <c r="AS4" s="309" t="s">
        <v>268</v>
      </c>
      <c r="AT4" s="310" t="s">
        <v>269</v>
      </c>
      <c r="AU4" s="311" t="s">
        <v>270</v>
      </c>
      <c r="AV4" s="312" t="s">
        <v>271</v>
      </c>
      <c r="AW4" s="312" t="s">
        <v>272</v>
      </c>
      <c r="AX4" s="312" t="s">
        <v>273</v>
      </c>
      <c r="AY4" s="307"/>
      <c r="AZ4" s="306" t="s">
        <v>266</v>
      </c>
      <c r="BA4" s="308" t="s">
        <v>267</v>
      </c>
      <c r="BB4" s="309" t="s">
        <v>268</v>
      </c>
      <c r="BC4" s="310" t="s">
        <v>269</v>
      </c>
      <c r="BD4" s="311" t="s">
        <v>270</v>
      </c>
      <c r="BE4" s="312" t="s">
        <v>271</v>
      </c>
      <c r="BF4" s="312" t="s">
        <v>272</v>
      </c>
      <c r="BG4" s="312" t="s">
        <v>273</v>
      </c>
      <c r="BH4" s="307"/>
      <c r="BI4" s="307"/>
      <c r="BJ4" s="1277"/>
      <c r="BK4" s="307"/>
      <c r="BL4" s="306" t="s">
        <v>266</v>
      </c>
      <c r="BM4" s="308" t="s">
        <v>267</v>
      </c>
      <c r="BN4" s="309" t="s">
        <v>268</v>
      </c>
      <c r="BO4" s="310" t="s">
        <v>269</v>
      </c>
      <c r="BP4" s="311" t="s">
        <v>270</v>
      </c>
      <c r="BQ4" s="312" t="s">
        <v>271</v>
      </c>
      <c r="BR4" s="312" t="s">
        <v>272</v>
      </c>
      <c r="BS4" s="312" t="s">
        <v>273</v>
      </c>
      <c r="BT4" s="307"/>
      <c r="BU4" s="306" t="s">
        <v>266</v>
      </c>
      <c r="BV4" s="1042"/>
      <c r="BW4" s="306" t="s">
        <v>266</v>
      </c>
      <c r="BX4" s="308" t="s">
        <v>267</v>
      </c>
      <c r="BY4" s="309" t="s">
        <v>268</v>
      </c>
      <c r="BZ4" s="310" t="s">
        <v>269</v>
      </c>
      <c r="CA4" s="311" t="s">
        <v>270</v>
      </c>
      <c r="CB4" s="312" t="s">
        <v>271</v>
      </c>
      <c r="CC4" s="312" t="s">
        <v>272</v>
      </c>
      <c r="CD4" s="312" t="s">
        <v>273</v>
      </c>
    </row>
    <row r="5" spans="1:82" s="295" customFormat="1" ht="42" customHeight="1">
      <c r="A5" s="304"/>
      <c r="B5" s="304"/>
      <c r="C5" s="304"/>
      <c r="D5" s="304"/>
      <c r="E5" s="304"/>
      <c r="F5" s="304"/>
      <c r="G5" s="304"/>
      <c r="H5" s="304"/>
      <c r="I5" s="305"/>
      <c r="J5" s="305"/>
      <c r="K5" s="304"/>
      <c r="L5" s="304"/>
      <c r="M5" s="304"/>
      <c r="N5" s="304"/>
      <c r="O5" s="293"/>
      <c r="P5" s="42" t="s">
        <v>368</v>
      </c>
      <c r="Q5" s="42" t="s">
        <v>369</v>
      </c>
      <c r="R5" s="42" t="s">
        <v>370</v>
      </c>
      <c r="S5" s="42" t="s">
        <v>371</v>
      </c>
      <c r="T5" s="42" t="s">
        <v>372</v>
      </c>
      <c r="U5" s="42" t="s">
        <v>373</v>
      </c>
      <c r="V5" s="42" t="s">
        <v>374</v>
      </c>
      <c r="W5" s="42" t="s">
        <v>375</v>
      </c>
      <c r="X5" s="313"/>
      <c r="Y5" s="42" t="s">
        <v>368</v>
      </c>
      <c r="Z5" s="42" t="s">
        <v>369</v>
      </c>
      <c r="AA5" s="42" t="s">
        <v>370</v>
      </c>
      <c r="AB5" s="42" t="s">
        <v>371</v>
      </c>
      <c r="AC5" s="42" t="s">
        <v>372</v>
      </c>
      <c r="AD5" s="42" t="s">
        <v>373</v>
      </c>
      <c r="AE5" s="42" t="s">
        <v>374</v>
      </c>
      <c r="AF5" s="42" t="s">
        <v>375</v>
      </c>
      <c r="AG5" s="314"/>
      <c r="AH5" s="42" t="s">
        <v>368</v>
      </c>
      <c r="AI5" s="42" t="s">
        <v>369</v>
      </c>
      <c r="AJ5" s="42" t="s">
        <v>370</v>
      </c>
      <c r="AK5" s="42" t="s">
        <v>371</v>
      </c>
      <c r="AL5" s="42" t="s">
        <v>372</v>
      </c>
      <c r="AM5" s="42" t="s">
        <v>373</v>
      </c>
      <c r="AN5" s="42" t="s">
        <v>374</v>
      </c>
      <c r="AO5" s="42" t="s">
        <v>375</v>
      </c>
      <c r="AP5" s="313"/>
      <c r="AQ5" s="42" t="s">
        <v>368</v>
      </c>
      <c r="AR5" s="42" t="s">
        <v>369</v>
      </c>
      <c r="AS5" s="42" t="s">
        <v>370</v>
      </c>
      <c r="AT5" s="42" t="s">
        <v>371</v>
      </c>
      <c r="AU5" s="42" t="s">
        <v>372</v>
      </c>
      <c r="AV5" s="42" t="s">
        <v>373</v>
      </c>
      <c r="AW5" s="42" t="s">
        <v>374</v>
      </c>
      <c r="AX5" s="42" t="s">
        <v>375</v>
      </c>
      <c r="AY5" s="314"/>
      <c r="AZ5" s="42" t="s">
        <v>368</v>
      </c>
      <c r="BA5" s="42" t="s">
        <v>369</v>
      </c>
      <c r="BB5" s="42" t="s">
        <v>370</v>
      </c>
      <c r="BC5" s="42" t="s">
        <v>371</v>
      </c>
      <c r="BD5" s="42" t="s">
        <v>372</v>
      </c>
      <c r="BE5" s="42" t="s">
        <v>373</v>
      </c>
      <c r="BF5" s="42" t="s">
        <v>374</v>
      </c>
      <c r="BG5" s="42" t="s">
        <v>375</v>
      </c>
      <c r="BH5" s="314"/>
      <c r="BI5" s="313"/>
      <c r="BJ5" s="304" t="s">
        <v>376</v>
      </c>
      <c r="BK5" s="313"/>
      <c r="BL5" s="42" t="s">
        <v>368</v>
      </c>
      <c r="BM5" s="42" t="s">
        <v>369</v>
      </c>
      <c r="BN5" s="42" t="s">
        <v>370</v>
      </c>
      <c r="BO5" s="42" t="s">
        <v>371</v>
      </c>
      <c r="BP5" s="42" t="s">
        <v>372</v>
      </c>
      <c r="BQ5" s="42" t="s">
        <v>373</v>
      </c>
      <c r="BR5" s="42" t="s">
        <v>374</v>
      </c>
      <c r="BS5" s="42" t="s">
        <v>375</v>
      </c>
      <c r="BT5" s="313"/>
      <c r="BU5" s="42" t="s">
        <v>368</v>
      </c>
      <c r="BV5" s="1042"/>
      <c r="BW5" s="42" t="s">
        <v>368</v>
      </c>
      <c r="BX5" s="42" t="s">
        <v>369</v>
      </c>
      <c r="BY5" s="42" t="s">
        <v>370</v>
      </c>
      <c r="BZ5" s="42" t="s">
        <v>371</v>
      </c>
      <c r="CA5" s="42" t="s">
        <v>372</v>
      </c>
      <c r="CB5" s="42" t="s">
        <v>373</v>
      </c>
      <c r="CC5" s="42" t="s">
        <v>374</v>
      </c>
      <c r="CD5" s="42" t="s">
        <v>375</v>
      </c>
    </row>
    <row r="6" spans="1:82" s="295" customFormat="1" ht="24" customHeight="1">
      <c r="A6" s="747">
        <v>1</v>
      </c>
      <c r="B6" s="746" t="s">
        <v>1190</v>
      </c>
      <c r="C6" s="746" t="s">
        <v>691</v>
      </c>
      <c r="D6" s="746" t="s">
        <v>1191</v>
      </c>
      <c r="E6" s="746">
        <v>1</v>
      </c>
      <c r="F6" s="746">
        <v>3</v>
      </c>
      <c r="G6" s="746" t="s">
        <v>1192</v>
      </c>
      <c r="H6" s="746" t="s">
        <v>377</v>
      </c>
      <c r="I6" s="746">
        <v>11</v>
      </c>
      <c r="J6" s="746">
        <v>6</v>
      </c>
      <c r="K6" s="746">
        <v>3</v>
      </c>
      <c r="L6" s="746" t="s">
        <v>377</v>
      </c>
      <c r="M6" s="746" t="s">
        <v>1193</v>
      </c>
      <c r="N6" s="746">
        <v>27.6</v>
      </c>
      <c r="O6" s="293"/>
      <c r="P6" s="315" t="str">
        <f>IF(F6&lt;10,IF(F6&gt;=1,"X",""),"")</f>
        <v>X</v>
      </c>
      <c r="Q6" s="316" t="str">
        <f>IF(F6&gt;=10,IF(F6&lt;=15,"X",""),"")</f>
        <v/>
      </c>
      <c r="R6" s="316" t="str">
        <f t="shared" ref="R6" si="0">IF(F6&gt;15,IF(F6&lt;=20,"X",""),"")</f>
        <v/>
      </c>
      <c r="S6" s="316" t="str">
        <f t="shared" ref="S6" si="1">IF(F6&gt;20,IF(F6&lt;=30,"X",""),"")</f>
        <v/>
      </c>
      <c r="T6" s="316" t="str">
        <f t="shared" ref="T6" si="2">IF(F6&gt;30,IF(F6&lt;=40,"X",""),"")</f>
        <v/>
      </c>
      <c r="U6" s="316" t="str">
        <f t="shared" ref="U6" si="3">IF(F6&gt;40,IF(F6&lt;=50,"X",""),"")</f>
        <v/>
      </c>
      <c r="V6" s="316" t="str">
        <f t="shared" ref="V6" si="4">IF(F6&gt;50,IF(F6&lt;=70,"X",""),"")</f>
        <v/>
      </c>
      <c r="W6" s="316" t="str">
        <f t="shared" ref="W6" si="5">IF(F6&gt;70,IF(F6&lt;=100,"X",""),"")</f>
        <v/>
      </c>
      <c r="X6" s="317"/>
      <c r="Y6" s="316">
        <f>IF(P6="X",$I6,"")</f>
        <v>11</v>
      </c>
      <c r="Z6" s="316" t="str">
        <f t="shared" ref="Z6:AF6" si="6">IF(Q6="X",$I6,"")</f>
        <v/>
      </c>
      <c r="AA6" s="316" t="str">
        <f t="shared" si="6"/>
        <v/>
      </c>
      <c r="AB6" s="316" t="str">
        <f t="shared" si="6"/>
        <v/>
      </c>
      <c r="AC6" s="316" t="str">
        <f t="shared" si="6"/>
        <v/>
      </c>
      <c r="AD6" s="316" t="str">
        <f t="shared" si="6"/>
        <v/>
      </c>
      <c r="AE6" s="316" t="str">
        <f t="shared" si="6"/>
        <v/>
      </c>
      <c r="AF6" s="316" t="str">
        <f t="shared" si="6"/>
        <v/>
      </c>
      <c r="AG6" s="317"/>
      <c r="AH6" s="316">
        <f>IF(P6="X",$J6,"")</f>
        <v>6</v>
      </c>
      <c r="AI6" s="316" t="str">
        <f t="shared" ref="AI6:AO6" si="7">IF(Q6="X",$J6,"")</f>
        <v/>
      </c>
      <c r="AJ6" s="316" t="str">
        <f t="shared" si="7"/>
        <v/>
      </c>
      <c r="AK6" s="316" t="str">
        <f t="shared" si="7"/>
        <v/>
      </c>
      <c r="AL6" s="316" t="str">
        <f t="shared" si="7"/>
        <v/>
      </c>
      <c r="AM6" s="316" t="str">
        <f t="shared" si="7"/>
        <v/>
      </c>
      <c r="AN6" s="316" t="str">
        <f t="shared" si="7"/>
        <v/>
      </c>
      <c r="AO6" s="316" t="str">
        <f t="shared" si="7"/>
        <v/>
      </c>
      <c r="AP6" s="317"/>
      <c r="AQ6" s="316" t="str">
        <f t="shared" ref="AQ6:AX6" si="8">IF(AND(P6="X",$BJ6="F"),$K6,"")</f>
        <v/>
      </c>
      <c r="AR6" s="316" t="str">
        <f t="shared" si="8"/>
        <v/>
      </c>
      <c r="AS6" s="316" t="str">
        <f t="shared" si="8"/>
        <v/>
      </c>
      <c r="AT6" s="316" t="str">
        <f t="shared" si="8"/>
        <v/>
      </c>
      <c r="AU6" s="316" t="str">
        <f t="shared" si="8"/>
        <v/>
      </c>
      <c r="AV6" s="316" t="str">
        <f t="shared" si="8"/>
        <v/>
      </c>
      <c r="AW6" s="316" t="str">
        <f t="shared" si="8"/>
        <v/>
      </c>
      <c r="AX6" s="316" t="str">
        <f t="shared" si="8"/>
        <v/>
      </c>
      <c r="AY6" s="317"/>
      <c r="AZ6" s="316">
        <f>IF(AND(P6="X",$BJ6="P"),$K6,"")</f>
        <v>3</v>
      </c>
      <c r="BA6" s="316" t="str">
        <f t="shared" ref="BA6:BG6" si="9">IF(AND(Q6="X",$BJ6="P"),$K6,"")</f>
        <v/>
      </c>
      <c r="BB6" s="316" t="str">
        <f t="shared" si="9"/>
        <v/>
      </c>
      <c r="BC6" s="316" t="str">
        <f t="shared" si="9"/>
        <v/>
      </c>
      <c r="BD6" s="316" t="str">
        <f t="shared" si="9"/>
        <v/>
      </c>
      <c r="BE6" s="316" t="str">
        <f t="shared" si="9"/>
        <v/>
      </c>
      <c r="BF6" s="316" t="str">
        <f t="shared" si="9"/>
        <v/>
      </c>
      <c r="BG6" s="316" t="str">
        <f t="shared" si="9"/>
        <v/>
      </c>
      <c r="BH6" s="317"/>
      <c r="BI6" s="318"/>
      <c r="BJ6" s="319" t="str">
        <f>IF(L6="","",IF(L6="SI","P","F"))</f>
        <v>P</v>
      </c>
      <c r="BK6" s="317"/>
      <c r="BL6" s="316" t="str">
        <f t="shared" ref="BL6:BL35" si="10">IF(P6="X",$BJ6,"")</f>
        <v>P</v>
      </c>
      <c r="BM6" s="316" t="str">
        <f t="shared" ref="BM6:BM35" si="11">IF(Q6="X",$BJ6,"")</f>
        <v/>
      </c>
      <c r="BN6" s="316" t="str">
        <f t="shared" ref="BN6:BN35" si="12">IF(R6="X",$BJ6,"")</f>
        <v/>
      </c>
      <c r="BO6" s="316" t="str">
        <f t="shared" ref="BO6:BO35" si="13">IF(S6="X",$BJ6,"")</f>
        <v/>
      </c>
      <c r="BP6" s="316" t="str">
        <f t="shared" ref="BP6:BP35" si="14">IF(T6="X",$BJ6,"")</f>
        <v/>
      </c>
      <c r="BQ6" s="316" t="str">
        <f t="shared" ref="BQ6:BQ35" si="15">IF(U6="X",$BJ6,"")</f>
        <v/>
      </c>
      <c r="BR6" s="316" t="str">
        <f t="shared" ref="BR6:BR35" si="16">IF(V6="X",$BJ6,"")</f>
        <v/>
      </c>
      <c r="BS6" s="316" t="str">
        <f t="shared" ref="BS6:BS35" si="17">IF(W6="X",$BJ6,"")</f>
        <v/>
      </c>
      <c r="BT6" s="317"/>
      <c r="BU6" s="316">
        <f t="shared" ref="BU6:BU35" si="18">IF(H6="SI",E6,"")</f>
        <v>1</v>
      </c>
      <c r="BV6" s="1042"/>
      <c r="BW6" s="316" t="str">
        <f>IF(H6="SI",IF(F6&lt;=9,"X",""),"")</f>
        <v>X</v>
      </c>
      <c r="BX6" s="316" t="str">
        <f>IF(H6="SI",IF(F6&gt;=10,IF(F6&lt;=15,"X",""),""))</f>
        <v/>
      </c>
      <c r="BY6" s="316" t="str">
        <f>IF(H6="SI",IF(F6&gt;=16,IF(F6&lt;=20,"X",""),""))</f>
        <v/>
      </c>
      <c r="BZ6" s="316" t="str">
        <f>IF(H6="SI",IF(F6&gt;=21,IF(F6&lt;=30,"X",""),""))</f>
        <v/>
      </c>
      <c r="CA6" s="316" t="str">
        <f>IF(H6="SI",IF(F6&gt;=31,IF(F6&lt;=40,"X",""),""))</f>
        <v/>
      </c>
      <c r="CB6" s="316" t="str">
        <f>IF(H6="SI",IF(F6&gt;=41,IF(F6&lt;=50,"X",""),""))</f>
        <v/>
      </c>
      <c r="CC6" s="316" t="str">
        <f>IF(H6="SI",IF(F6&gt;=51,IF(F6&lt;=70,"X",""),""))</f>
        <v/>
      </c>
      <c r="CD6" s="316" t="str">
        <f>IF(H6="SI",IF(F6&gt;=71,IF(F6&lt;=90,"X",""),""))</f>
        <v/>
      </c>
    </row>
    <row r="7" spans="1:82" s="295" customFormat="1" ht="24" customHeight="1">
      <c r="A7" s="747">
        <v>2</v>
      </c>
      <c r="B7" s="746" t="s">
        <v>1194</v>
      </c>
      <c r="C7" s="746" t="str">
        <f>C6</f>
        <v>Santa Fe de Antioquia</v>
      </c>
      <c r="D7" s="746" t="s">
        <v>1195</v>
      </c>
      <c r="E7" s="746">
        <v>1</v>
      </c>
      <c r="F7" s="746">
        <v>6</v>
      </c>
      <c r="G7" s="746" t="s">
        <v>1192</v>
      </c>
      <c r="H7" s="746" t="s">
        <v>377</v>
      </c>
      <c r="I7" s="746">
        <v>19</v>
      </c>
      <c r="J7" s="746">
        <v>6</v>
      </c>
      <c r="K7" s="746">
        <v>3</v>
      </c>
      <c r="L7" s="746" t="s">
        <v>377</v>
      </c>
      <c r="M7" s="746" t="s">
        <v>1193</v>
      </c>
      <c r="N7" s="746">
        <v>34</v>
      </c>
      <c r="O7" s="293"/>
      <c r="P7" s="315" t="str">
        <f t="shared" ref="P7:P35" si="19">IF(F7&lt;10,IF(F7&gt;=1,"X",""),"")</f>
        <v>X</v>
      </c>
      <c r="Q7" s="316" t="str">
        <f t="shared" ref="Q7:Q35" si="20">IF(F7&gt;=10,IF(F7&lt;=15,"X",""),"")</f>
        <v/>
      </c>
      <c r="R7" s="316" t="str">
        <f t="shared" ref="R7:R35" si="21">IF(F7&gt;15,IF(F7&lt;=20,"X",""),"")</f>
        <v/>
      </c>
      <c r="S7" s="316" t="str">
        <f t="shared" ref="S7:S35" si="22">IF(F7&gt;20,IF(F7&lt;=30,"X",""),"")</f>
        <v/>
      </c>
      <c r="T7" s="316" t="str">
        <f t="shared" ref="T7:T35" si="23">IF(F7&gt;30,IF(F7&lt;=40,"X",""),"")</f>
        <v/>
      </c>
      <c r="U7" s="316" t="str">
        <f t="shared" ref="U7:U35" si="24">IF(F7&gt;40,IF(F7&lt;=50,"X",""),"")</f>
        <v/>
      </c>
      <c r="V7" s="316" t="str">
        <f t="shared" ref="V7:V35" si="25">IF(F7&gt;50,IF(F7&lt;=70,"X",""),"")</f>
        <v/>
      </c>
      <c r="W7" s="316" t="str">
        <f t="shared" ref="W7:W35" si="26">IF(F7&gt;70,IF(F7&lt;=100,"X",""),"")</f>
        <v/>
      </c>
      <c r="X7" s="317"/>
      <c r="Y7" s="316">
        <f t="shared" ref="Y7:Y34" si="27">IF(P7="X",$I7,"")</f>
        <v>19</v>
      </c>
      <c r="Z7" s="316" t="str">
        <f t="shared" ref="Z7:Z35" si="28">IF(Q7="X",$I7,"")</f>
        <v/>
      </c>
      <c r="AA7" s="316" t="str">
        <f t="shared" ref="AA7:AA35" si="29">IF(R7="X",$I7,"")</f>
        <v/>
      </c>
      <c r="AB7" s="316" t="str">
        <f t="shared" ref="AB7:AB35" si="30">IF(S7="X",$I7,"")</f>
        <v/>
      </c>
      <c r="AC7" s="316" t="str">
        <f t="shared" ref="AC7:AC35" si="31">IF(T7="X",$I7,"")</f>
        <v/>
      </c>
      <c r="AD7" s="316" t="str">
        <f t="shared" ref="AD7:AD35" si="32">IF(U7="X",$I7,"")</f>
        <v/>
      </c>
      <c r="AE7" s="316" t="str">
        <f t="shared" ref="AE7:AE35" si="33">IF(V7="X",$I7,"")</f>
        <v/>
      </c>
      <c r="AF7" s="316" t="str">
        <f t="shared" ref="AF7:AF35" si="34">IF(W7="X",$I7,"")</f>
        <v/>
      </c>
      <c r="AG7" s="317"/>
      <c r="AH7" s="316">
        <f t="shared" ref="AH7:AH34" si="35">IF(P7="X",$J7,"")</f>
        <v>6</v>
      </c>
      <c r="AI7" s="316" t="str">
        <f t="shared" ref="AI7:AI35" si="36">IF(Q7="X",$J7,"")</f>
        <v/>
      </c>
      <c r="AJ7" s="316" t="str">
        <f t="shared" ref="AJ7:AJ35" si="37">IF(R7="X",$J7,"")</f>
        <v/>
      </c>
      <c r="AK7" s="316" t="str">
        <f t="shared" ref="AK7:AK35" si="38">IF(S7="X",$J7,"")</f>
        <v/>
      </c>
      <c r="AL7" s="316" t="str">
        <f t="shared" ref="AL7:AL35" si="39">IF(T7="X",$J7,"")</f>
        <v/>
      </c>
      <c r="AM7" s="316" t="str">
        <f t="shared" ref="AM7:AM35" si="40">IF(U7="X",$J7,"")</f>
        <v/>
      </c>
      <c r="AN7" s="316" t="str">
        <f t="shared" ref="AN7:AN35" si="41">IF(V7="X",$J7,"")</f>
        <v/>
      </c>
      <c r="AO7" s="316" t="str">
        <f t="shared" ref="AO7:AO35" si="42">IF(W7="X",$J7,"")</f>
        <v/>
      </c>
      <c r="AP7" s="317"/>
      <c r="AQ7" s="316" t="str">
        <f t="shared" ref="AQ7:AQ35" si="43">IF(AND(P7="X",$BJ7="F"),$K7,"")</f>
        <v/>
      </c>
      <c r="AR7" s="316" t="str">
        <f t="shared" ref="AR7:AR35" si="44">IF(AND(Q7="X",$BJ7="F"),$K7,"")</f>
        <v/>
      </c>
      <c r="AS7" s="316" t="str">
        <f t="shared" ref="AS7:AS35" si="45">IF(AND(R7="X",$BJ7="F"),$K7,"")</f>
        <v/>
      </c>
      <c r="AT7" s="316" t="str">
        <f t="shared" ref="AT7:AT35" si="46">IF(AND(S7="X",$BJ7="F"),$K7,"")</f>
        <v/>
      </c>
      <c r="AU7" s="316" t="str">
        <f t="shared" ref="AU7:AU35" si="47">IF(AND(T7="X",$BJ7="F"),$K7,"")</f>
        <v/>
      </c>
      <c r="AV7" s="316" t="str">
        <f t="shared" ref="AV7:AV35" si="48">IF(AND(U7="X",$BJ7="F"),$K7,"")</f>
        <v/>
      </c>
      <c r="AW7" s="316" t="str">
        <f t="shared" ref="AW7:AW35" si="49">IF(AND(V7="X",$BJ7="F"),$K7,"")</f>
        <v/>
      </c>
      <c r="AX7" s="316" t="str">
        <f t="shared" ref="AX7:AX35" si="50">IF(AND(W7="X",$BJ7="F"),$K7,"")</f>
        <v/>
      </c>
      <c r="AY7" s="317"/>
      <c r="AZ7" s="316">
        <f t="shared" ref="AZ7:AZ34" si="51">IF(AND(P7="X",$BJ7="P"),$K7,"")</f>
        <v>3</v>
      </c>
      <c r="BA7" s="316" t="str">
        <f t="shared" ref="BA7:BA35" si="52">IF(AND(Q7="X",$BJ7="P"),$K7,"")</f>
        <v/>
      </c>
      <c r="BB7" s="316" t="str">
        <f t="shared" ref="BB7:BB35" si="53">IF(AND(R7="X",$BJ7="P"),$K7,"")</f>
        <v/>
      </c>
      <c r="BC7" s="316" t="str">
        <f t="shared" ref="BC7:BC35" si="54">IF(AND(S7="X",$BJ7="P"),$K7,"")</f>
        <v/>
      </c>
      <c r="BD7" s="316" t="str">
        <f t="shared" ref="BD7:BD35" si="55">IF(AND(T7="X",$BJ7="P"),$K7,"")</f>
        <v/>
      </c>
      <c r="BE7" s="316" t="str">
        <f t="shared" ref="BE7:BE35" si="56">IF(AND(U7="X",$BJ7="P"),$K7,"")</f>
        <v/>
      </c>
      <c r="BF7" s="316" t="str">
        <f t="shared" ref="BF7:BF35" si="57">IF(AND(V7="X",$BJ7="P"),$K7,"")</f>
        <v/>
      </c>
      <c r="BG7" s="316" t="str">
        <f t="shared" ref="BG7:BG35" si="58">IF(AND(W7="X",$BJ7="P"),$K7,"")</f>
        <v/>
      </c>
      <c r="BH7" s="317"/>
      <c r="BI7" s="318"/>
      <c r="BJ7" s="319" t="str">
        <f t="shared" ref="BJ7:BJ34" si="59">IF(L7="","",IF(L7="SI","P","F"))</f>
        <v>P</v>
      </c>
      <c r="BK7" s="317"/>
      <c r="BL7" s="316" t="str">
        <f t="shared" si="10"/>
        <v>P</v>
      </c>
      <c r="BM7" s="316" t="str">
        <f t="shared" si="11"/>
        <v/>
      </c>
      <c r="BN7" s="316" t="str">
        <f t="shared" si="12"/>
        <v/>
      </c>
      <c r="BO7" s="316" t="str">
        <f t="shared" si="13"/>
        <v/>
      </c>
      <c r="BP7" s="316" t="str">
        <f t="shared" si="14"/>
        <v/>
      </c>
      <c r="BQ7" s="316" t="str">
        <f t="shared" si="15"/>
        <v/>
      </c>
      <c r="BR7" s="316" t="str">
        <f t="shared" si="16"/>
        <v/>
      </c>
      <c r="BS7" s="316" t="str">
        <f t="shared" si="17"/>
        <v/>
      </c>
      <c r="BT7" s="317"/>
      <c r="BU7" s="316">
        <f t="shared" si="18"/>
        <v>1</v>
      </c>
      <c r="BV7" s="1042"/>
      <c r="BW7" s="316" t="str">
        <f t="shared" ref="BW7:BW35" si="60">IF(H7="SI",IF(F7&lt;=9,"X",""),"")</f>
        <v>X</v>
      </c>
      <c r="BX7" s="316"/>
      <c r="BY7" s="316"/>
      <c r="BZ7" s="316"/>
      <c r="CA7" s="316"/>
      <c r="CB7" s="316"/>
      <c r="CC7" s="316"/>
      <c r="CD7" s="316"/>
    </row>
    <row r="8" spans="1:82" s="295" customFormat="1" ht="24" customHeight="1">
      <c r="A8" s="747">
        <v>3</v>
      </c>
      <c r="B8" s="746" t="s">
        <v>1196</v>
      </c>
      <c r="C8" s="746" t="str">
        <f t="shared" ref="C8:C35" si="61">C7</f>
        <v>Santa Fe de Antioquia</v>
      </c>
      <c r="D8" s="746" t="s">
        <v>1195</v>
      </c>
      <c r="E8" s="874">
        <v>1</v>
      </c>
      <c r="F8" s="745">
        <v>4</v>
      </c>
      <c r="G8" s="746" t="s">
        <v>1192</v>
      </c>
      <c r="H8" s="746" t="s">
        <v>377</v>
      </c>
      <c r="I8" s="746">
        <v>14</v>
      </c>
      <c r="J8" s="746">
        <v>6</v>
      </c>
      <c r="K8" s="746">
        <v>3</v>
      </c>
      <c r="L8" s="746" t="s">
        <v>377</v>
      </c>
      <c r="M8" s="746" t="s">
        <v>1193</v>
      </c>
      <c r="N8" s="746">
        <v>33</v>
      </c>
      <c r="O8" s="293"/>
      <c r="P8" s="315" t="str">
        <f t="shared" si="19"/>
        <v>X</v>
      </c>
      <c r="Q8" s="316" t="str">
        <f t="shared" si="20"/>
        <v/>
      </c>
      <c r="R8" s="316" t="str">
        <f t="shared" si="21"/>
        <v/>
      </c>
      <c r="S8" s="316" t="str">
        <f t="shared" si="22"/>
        <v/>
      </c>
      <c r="T8" s="316" t="str">
        <f t="shared" si="23"/>
        <v/>
      </c>
      <c r="U8" s="316" t="str">
        <f t="shared" si="24"/>
        <v/>
      </c>
      <c r="V8" s="316" t="str">
        <f t="shared" si="25"/>
        <v/>
      </c>
      <c r="W8" s="316" t="str">
        <f t="shared" si="26"/>
        <v/>
      </c>
      <c r="X8" s="317"/>
      <c r="Y8" s="316">
        <f t="shared" si="27"/>
        <v>14</v>
      </c>
      <c r="Z8" s="316" t="str">
        <f t="shared" si="28"/>
        <v/>
      </c>
      <c r="AA8" s="316" t="str">
        <f t="shared" si="29"/>
        <v/>
      </c>
      <c r="AB8" s="316" t="str">
        <f t="shared" si="30"/>
        <v/>
      </c>
      <c r="AC8" s="316" t="str">
        <f t="shared" si="31"/>
        <v/>
      </c>
      <c r="AD8" s="316" t="str">
        <f t="shared" si="32"/>
        <v/>
      </c>
      <c r="AE8" s="316" t="str">
        <f t="shared" si="33"/>
        <v/>
      </c>
      <c r="AF8" s="316" t="str">
        <f t="shared" si="34"/>
        <v/>
      </c>
      <c r="AG8" s="317"/>
      <c r="AH8" s="316">
        <f t="shared" si="35"/>
        <v>6</v>
      </c>
      <c r="AI8" s="316" t="str">
        <f t="shared" si="36"/>
        <v/>
      </c>
      <c r="AJ8" s="316" t="str">
        <f t="shared" si="37"/>
        <v/>
      </c>
      <c r="AK8" s="316" t="str">
        <f t="shared" si="38"/>
        <v/>
      </c>
      <c r="AL8" s="316" t="str">
        <f t="shared" si="39"/>
        <v/>
      </c>
      <c r="AM8" s="316" t="str">
        <f t="shared" si="40"/>
        <v/>
      </c>
      <c r="AN8" s="316" t="str">
        <f t="shared" si="41"/>
        <v/>
      </c>
      <c r="AO8" s="316" t="str">
        <f t="shared" si="42"/>
        <v/>
      </c>
      <c r="AP8" s="317"/>
      <c r="AQ8" s="316" t="str">
        <f t="shared" si="43"/>
        <v/>
      </c>
      <c r="AR8" s="316" t="str">
        <f t="shared" si="44"/>
        <v/>
      </c>
      <c r="AS8" s="316" t="str">
        <f t="shared" si="45"/>
        <v/>
      </c>
      <c r="AT8" s="316" t="str">
        <f t="shared" si="46"/>
        <v/>
      </c>
      <c r="AU8" s="316" t="str">
        <f t="shared" si="47"/>
        <v/>
      </c>
      <c r="AV8" s="316" t="str">
        <f t="shared" si="48"/>
        <v/>
      </c>
      <c r="AW8" s="316" t="str">
        <f t="shared" si="49"/>
        <v/>
      </c>
      <c r="AX8" s="316" t="str">
        <f t="shared" si="50"/>
        <v/>
      </c>
      <c r="AY8" s="317"/>
      <c r="AZ8" s="316">
        <f t="shared" si="51"/>
        <v>3</v>
      </c>
      <c r="BA8" s="316" t="str">
        <f t="shared" si="52"/>
        <v/>
      </c>
      <c r="BB8" s="316" t="str">
        <f t="shared" si="53"/>
        <v/>
      </c>
      <c r="BC8" s="316" t="str">
        <f t="shared" si="54"/>
        <v/>
      </c>
      <c r="BD8" s="316" t="str">
        <f t="shared" si="55"/>
        <v/>
      </c>
      <c r="BE8" s="316" t="str">
        <f t="shared" si="56"/>
        <v/>
      </c>
      <c r="BF8" s="316" t="str">
        <f t="shared" si="57"/>
        <v/>
      </c>
      <c r="BG8" s="316" t="str">
        <f t="shared" si="58"/>
        <v/>
      </c>
      <c r="BH8" s="317"/>
      <c r="BI8" s="318"/>
      <c r="BJ8" s="319" t="str">
        <f t="shared" si="59"/>
        <v>P</v>
      </c>
      <c r="BK8" s="317"/>
      <c r="BL8" s="316" t="str">
        <f t="shared" si="10"/>
        <v>P</v>
      </c>
      <c r="BM8" s="316" t="str">
        <f t="shared" si="11"/>
        <v/>
      </c>
      <c r="BN8" s="316" t="str">
        <f t="shared" si="12"/>
        <v/>
      </c>
      <c r="BO8" s="316" t="str">
        <f t="shared" si="13"/>
        <v/>
      </c>
      <c r="BP8" s="316" t="str">
        <f t="shared" si="14"/>
        <v/>
      </c>
      <c r="BQ8" s="316" t="str">
        <f t="shared" si="15"/>
        <v/>
      </c>
      <c r="BR8" s="316" t="str">
        <f t="shared" si="16"/>
        <v/>
      </c>
      <c r="BS8" s="316" t="str">
        <f t="shared" si="17"/>
        <v/>
      </c>
      <c r="BT8" s="317"/>
      <c r="BU8" s="316">
        <f t="shared" si="18"/>
        <v>1</v>
      </c>
      <c r="BV8" s="1042"/>
      <c r="BW8" s="316" t="str">
        <f t="shared" si="60"/>
        <v>X</v>
      </c>
      <c r="BX8" s="316"/>
      <c r="BY8" s="316"/>
      <c r="BZ8" s="316"/>
      <c r="CA8" s="316"/>
      <c r="CB8" s="316"/>
      <c r="CC8" s="316"/>
      <c r="CD8" s="316"/>
    </row>
    <row r="9" spans="1:82" s="295" customFormat="1" ht="24" customHeight="1">
      <c r="A9" s="747">
        <v>4</v>
      </c>
      <c r="B9" s="746" t="s">
        <v>1197</v>
      </c>
      <c r="C9" s="746" t="str">
        <f t="shared" si="61"/>
        <v>Santa Fe de Antioquia</v>
      </c>
      <c r="D9" s="746" t="s">
        <v>1195</v>
      </c>
      <c r="E9" s="746">
        <v>1</v>
      </c>
      <c r="F9" s="746">
        <v>5</v>
      </c>
      <c r="G9" s="746" t="s">
        <v>1192</v>
      </c>
      <c r="H9" s="746" t="s">
        <v>377</v>
      </c>
      <c r="I9" s="746">
        <v>9</v>
      </c>
      <c r="J9" s="746">
        <v>6</v>
      </c>
      <c r="K9" s="746">
        <v>3</v>
      </c>
      <c r="L9" s="746" t="s">
        <v>377</v>
      </c>
      <c r="M9" s="746" t="s">
        <v>1193</v>
      </c>
      <c r="N9" s="746">
        <v>36</v>
      </c>
      <c r="O9" s="293"/>
      <c r="P9" s="315" t="str">
        <f t="shared" si="19"/>
        <v>X</v>
      </c>
      <c r="Q9" s="316" t="str">
        <f t="shared" si="20"/>
        <v/>
      </c>
      <c r="R9" s="316" t="str">
        <f t="shared" si="21"/>
        <v/>
      </c>
      <c r="S9" s="316" t="str">
        <f t="shared" si="22"/>
        <v/>
      </c>
      <c r="T9" s="316" t="str">
        <f t="shared" si="23"/>
        <v/>
      </c>
      <c r="U9" s="316" t="str">
        <f t="shared" si="24"/>
        <v/>
      </c>
      <c r="V9" s="316" t="str">
        <f t="shared" si="25"/>
        <v/>
      </c>
      <c r="W9" s="316" t="str">
        <f t="shared" si="26"/>
        <v/>
      </c>
      <c r="X9" s="317"/>
      <c r="Y9" s="316">
        <f t="shared" si="27"/>
        <v>9</v>
      </c>
      <c r="Z9" s="316" t="str">
        <f t="shared" si="28"/>
        <v/>
      </c>
      <c r="AA9" s="316" t="str">
        <f t="shared" si="29"/>
        <v/>
      </c>
      <c r="AB9" s="316" t="str">
        <f t="shared" si="30"/>
        <v/>
      </c>
      <c r="AC9" s="316" t="str">
        <f t="shared" si="31"/>
        <v/>
      </c>
      <c r="AD9" s="316" t="str">
        <f t="shared" si="32"/>
        <v/>
      </c>
      <c r="AE9" s="316" t="str">
        <f t="shared" si="33"/>
        <v/>
      </c>
      <c r="AF9" s="316" t="str">
        <f t="shared" si="34"/>
        <v/>
      </c>
      <c r="AG9" s="317"/>
      <c r="AH9" s="316">
        <f t="shared" si="35"/>
        <v>6</v>
      </c>
      <c r="AI9" s="316" t="str">
        <f t="shared" si="36"/>
        <v/>
      </c>
      <c r="AJ9" s="316" t="str">
        <f t="shared" si="37"/>
        <v/>
      </c>
      <c r="AK9" s="316" t="str">
        <f t="shared" si="38"/>
        <v/>
      </c>
      <c r="AL9" s="316" t="str">
        <f t="shared" si="39"/>
        <v/>
      </c>
      <c r="AM9" s="316" t="str">
        <f t="shared" si="40"/>
        <v/>
      </c>
      <c r="AN9" s="316" t="str">
        <f t="shared" si="41"/>
        <v/>
      </c>
      <c r="AO9" s="316" t="str">
        <f t="shared" si="42"/>
        <v/>
      </c>
      <c r="AP9" s="317"/>
      <c r="AQ9" s="316" t="str">
        <f t="shared" si="43"/>
        <v/>
      </c>
      <c r="AR9" s="316" t="str">
        <f t="shared" si="44"/>
        <v/>
      </c>
      <c r="AS9" s="316" t="str">
        <f t="shared" si="45"/>
        <v/>
      </c>
      <c r="AT9" s="316" t="str">
        <f t="shared" si="46"/>
        <v/>
      </c>
      <c r="AU9" s="316" t="str">
        <f t="shared" si="47"/>
        <v/>
      </c>
      <c r="AV9" s="316" t="str">
        <f t="shared" si="48"/>
        <v/>
      </c>
      <c r="AW9" s="316" t="str">
        <f t="shared" si="49"/>
        <v/>
      </c>
      <c r="AX9" s="316" t="str">
        <f t="shared" si="50"/>
        <v/>
      </c>
      <c r="AY9" s="317"/>
      <c r="AZ9" s="316">
        <f t="shared" si="51"/>
        <v>3</v>
      </c>
      <c r="BA9" s="316" t="str">
        <f t="shared" si="52"/>
        <v/>
      </c>
      <c r="BB9" s="316" t="str">
        <f t="shared" si="53"/>
        <v/>
      </c>
      <c r="BC9" s="316" t="str">
        <f t="shared" si="54"/>
        <v/>
      </c>
      <c r="BD9" s="316" t="str">
        <f t="shared" si="55"/>
        <v/>
      </c>
      <c r="BE9" s="316" t="str">
        <f t="shared" si="56"/>
        <v/>
      </c>
      <c r="BF9" s="316" t="str">
        <f t="shared" si="57"/>
        <v/>
      </c>
      <c r="BG9" s="316" t="str">
        <f t="shared" si="58"/>
        <v/>
      </c>
      <c r="BH9" s="317"/>
      <c r="BI9" s="318"/>
      <c r="BJ9" s="319" t="str">
        <f t="shared" si="59"/>
        <v>P</v>
      </c>
      <c r="BK9" s="317"/>
      <c r="BL9" s="316" t="str">
        <f t="shared" si="10"/>
        <v>P</v>
      </c>
      <c r="BM9" s="316" t="str">
        <f t="shared" si="11"/>
        <v/>
      </c>
      <c r="BN9" s="316" t="str">
        <f t="shared" si="12"/>
        <v/>
      </c>
      <c r="BO9" s="316" t="str">
        <f t="shared" si="13"/>
        <v/>
      </c>
      <c r="BP9" s="316" t="str">
        <f t="shared" si="14"/>
        <v/>
      </c>
      <c r="BQ9" s="316" t="str">
        <f t="shared" si="15"/>
        <v/>
      </c>
      <c r="BR9" s="316" t="str">
        <f t="shared" si="16"/>
        <v/>
      </c>
      <c r="BS9" s="316" t="str">
        <f t="shared" si="17"/>
        <v/>
      </c>
      <c r="BT9" s="317"/>
      <c r="BU9" s="316">
        <f t="shared" si="18"/>
        <v>1</v>
      </c>
      <c r="BV9" s="1042"/>
      <c r="BW9" s="316" t="str">
        <f t="shared" si="60"/>
        <v>X</v>
      </c>
      <c r="BX9" s="316"/>
      <c r="BY9" s="316"/>
      <c r="BZ9" s="316"/>
      <c r="CA9" s="316"/>
      <c r="CB9" s="316"/>
      <c r="CC9" s="316"/>
      <c r="CD9" s="316"/>
    </row>
    <row r="10" spans="1:82" s="295" customFormat="1" ht="24" customHeight="1">
      <c r="A10" s="747">
        <v>5</v>
      </c>
      <c r="B10" s="746" t="s">
        <v>1198</v>
      </c>
      <c r="C10" s="746" t="str">
        <f t="shared" si="61"/>
        <v>Santa Fe de Antioquia</v>
      </c>
      <c r="D10" s="746" t="s">
        <v>1195</v>
      </c>
      <c r="E10" s="746">
        <v>1</v>
      </c>
      <c r="F10" s="746">
        <v>4</v>
      </c>
      <c r="G10" s="746" t="s">
        <v>1192</v>
      </c>
      <c r="H10" s="746" t="s">
        <v>377</v>
      </c>
      <c r="I10" s="746">
        <v>14</v>
      </c>
      <c r="J10" s="746">
        <v>6</v>
      </c>
      <c r="K10" s="746">
        <v>3</v>
      </c>
      <c r="L10" s="746" t="s">
        <v>377</v>
      </c>
      <c r="M10" s="746" t="s">
        <v>1193</v>
      </c>
      <c r="N10" s="746">
        <v>27.6</v>
      </c>
      <c r="O10" s="293"/>
      <c r="P10" s="315" t="str">
        <f t="shared" si="19"/>
        <v>X</v>
      </c>
      <c r="Q10" s="316" t="str">
        <f t="shared" si="20"/>
        <v/>
      </c>
      <c r="R10" s="316" t="str">
        <f t="shared" si="21"/>
        <v/>
      </c>
      <c r="S10" s="316" t="str">
        <f t="shared" si="22"/>
        <v/>
      </c>
      <c r="T10" s="316" t="str">
        <f t="shared" si="23"/>
        <v/>
      </c>
      <c r="U10" s="316" t="str">
        <f t="shared" si="24"/>
        <v/>
      </c>
      <c r="V10" s="316" t="str">
        <f t="shared" si="25"/>
        <v/>
      </c>
      <c r="W10" s="316" t="str">
        <f t="shared" si="26"/>
        <v/>
      </c>
      <c r="X10" s="317"/>
      <c r="Y10" s="316">
        <f t="shared" si="27"/>
        <v>14</v>
      </c>
      <c r="Z10" s="316" t="str">
        <f t="shared" si="28"/>
        <v/>
      </c>
      <c r="AA10" s="316" t="str">
        <f t="shared" si="29"/>
        <v/>
      </c>
      <c r="AB10" s="316" t="str">
        <f t="shared" si="30"/>
        <v/>
      </c>
      <c r="AC10" s="316" t="str">
        <f t="shared" si="31"/>
        <v/>
      </c>
      <c r="AD10" s="316" t="str">
        <f t="shared" si="32"/>
        <v/>
      </c>
      <c r="AE10" s="316" t="str">
        <f t="shared" si="33"/>
        <v/>
      </c>
      <c r="AF10" s="316" t="str">
        <f t="shared" si="34"/>
        <v/>
      </c>
      <c r="AG10" s="317"/>
      <c r="AH10" s="316">
        <f t="shared" si="35"/>
        <v>6</v>
      </c>
      <c r="AI10" s="316" t="str">
        <f t="shared" si="36"/>
        <v/>
      </c>
      <c r="AJ10" s="316" t="str">
        <f t="shared" si="37"/>
        <v/>
      </c>
      <c r="AK10" s="316" t="str">
        <f t="shared" si="38"/>
        <v/>
      </c>
      <c r="AL10" s="316" t="str">
        <f t="shared" si="39"/>
        <v/>
      </c>
      <c r="AM10" s="316" t="str">
        <f t="shared" si="40"/>
        <v/>
      </c>
      <c r="AN10" s="316" t="str">
        <f t="shared" si="41"/>
        <v/>
      </c>
      <c r="AO10" s="316" t="str">
        <f t="shared" si="42"/>
        <v/>
      </c>
      <c r="AP10" s="317"/>
      <c r="AQ10" s="316" t="str">
        <f t="shared" si="43"/>
        <v/>
      </c>
      <c r="AR10" s="316" t="str">
        <f t="shared" si="44"/>
        <v/>
      </c>
      <c r="AS10" s="316" t="str">
        <f t="shared" si="45"/>
        <v/>
      </c>
      <c r="AT10" s="316" t="str">
        <f t="shared" si="46"/>
        <v/>
      </c>
      <c r="AU10" s="316" t="str">
        <f t="shared" si="47"/>
        <v/>
      </c>
      <c r="AV10" s="316" t="str">
        <f t="shared" si="48"/>
        <v/>
      </c>
      <c r="AW10" s="316" t="str">
        <f t="shared" si="49"/>
        <v/>
      </c>
      <c r="AX10" s="316" t="str">
        <f t="shared" si="50"/>
        <v/>
      </c>
      <c r="AY10" s="317"/>
      <c r="AZ10" s="316">
        <f t="shared" si="51"/>
        <v>3</v>
      </c>
      <c r="BA10" s="316" t="str">
        <f t="shared" si="52"/>
        <v/>
      </c>
      <c r="BB10" s="316" t="str">
        <f t="shared" si="53"/>
        <v/>
      </c>
      <c r="BC10" s="316" t="str">
        <f t="shared" si="54"/>
        <v/>
      </c>
      <c r="BD10" s="316" t="str">
        <f t="shared" si="55"/>
        <v/>
      </c>
      <c r="BE10" s="316" t="str">
        <f t="shared" si="56"/>
        <v/>
      </c>
      <c r="BF10" s="316" t="str">
        <f t="shared" si="57"/>
        <v/>
      </c>
      <c r="BG10" s="316" t="str">
        <f t="shared" si="58"/>
        <v/>
      </c>
      <c r="BH10" s="317"/>
      <c r="BI10" s="318"/>
      <c r="BJ10" s="319" t="str">
        <f t="shared" si="59"/>
        <v>P</v>
      </c>
      <c r="BK10" s="317"/>
      <c r="BL10" s="316" t="str">
        <f t="shared" si="10"/>
        <v>P</v>
      </c>
      <c r="BM10" s="316" t="str">
        <f t="shared" si="11"/>
        <v/>
      </c>
      <c r="BN10" s="316" t="str">
        <f t="shared" si="12"/>
        <v/>
      </c>
      <c r="BO10" s="316" t="str">
        <f t="shared" si="13"/>
        <v/>
      </c>
      <c r="BP10" s="316" t="str">
        <f t="shared" si="14"/>
        <v/>
      </c>
      <c r="BQ10" s="316" t="str">
        <f t="shared" si="15"/>
        <v/>
      </c>
      <c r="BR10" s="316" t="str">
        <f t="shared" si="16"/>
        <v/>
      </c>
      <c r="BS10" s="316" t="str">
        <f t="shared" si="17"/>
        <v/>
      </c>
      <c r="BT10" s="317"/>
      <c r="BU10" s="316">
        <f t="shared" si="18"/>
        <v>1</v>
      </c>
      <c r="BV10" s="1042"/>
      <c r="BW10" s="316" t="str">
        <f t="shared" si="60"/>
        <v>X</v>
      </c>
      <c r="BX10" s="316"/>
      <c r="BY10" s="316"/>
      <c r="BZ10" s="316"/>
      <c r="CA10" s="316"/>
      <c r="CB10" s="316"/>
      <c r="CC10" s="316"/>
      <c r="CD10" s="316"/>
    </row>
    <row r="11" spans="1:82" s="295" customFormat="1" ht="24" customHeight="1">
      <c r="A11" s="747">
        <v>6</v>
      </c>
      <c r="B11" s="746" t="s">
        <v>1199</v>
      </c>
      <c r="C11" s="746" t="str">
        <f t="shared" si="61"/>
        <v>Santa Fe de Antioquia</v>
      </c>
      <c r="D11" s="746" t="s">
        <v>1195</v>
      </c>
      <c r="E11" s="746">
        <v>1</v>
      </c>
      <c r="F11" s="746">
        <v>3</v>
      </c>
      <c r="G11" s="746" t="s">
        <v>1192</v>
      </c>
      <c r="H11" s="746" t="s">
        <v>377</v>
      </c>
      <c r="I11" s="746">
        <v>19</v>
      </c>
      <c r="J11" s="746">
        <v>6</v>
      </c>
      <c r="K11" s="746">
        <v>3</v>
      </c>
      <c r="L11" s="746" t="s">
        <v>377</v>
      </c>
      <c r="M11" s="746" t="s">
        <v>1193</v>
      </c>
      <c r="N11" s="746">
        <v>35</v>
      </c>
      <c r="O11" s="293"/>
      <c r="P11" s="315" t="str">
        <f t="shared" si="19"/>
        <v>X</v>
      </c>
      <c r="Q11" s="316" t="str">
        <f t="shared" si="20"/>
        <v/>
      </c>
      <c r="R11" s="316" t="str">
        <f t="shared" si="21"/>
        <v/>
      </c>
      <c r="S11" s="316" t="str">
        <f t="shared" si="22"/>
        <v/>
      </c>
      <c r="T11" s="316" t="str">
        <f t="shared" si="23"/>
        <v/>
      </c>
      <c r="U11" s="316" t="str">
        <f t="shared" si="24"/>
        <v/>
      </c>
      <c r="V11" s="316" t="str">
        <f t="shared" si="25"/>
        <v/>
      </c>
      <c r="W11" s="316" t="str">
        <f t="shared" si="26"/>
        <v/>
      </c>
      <c r="X11" s="317"/>
      <c r="Y11" s="316">
        <f t="shared" si="27"/>
        <v>19</v>
      </c>
      <c r="Z11" s="316" t="str">
        <f t="shared" si="28"/>
        <v/>
      </c>
      <c r="AA11" s="316" t="str">
        <f t="shared" si="29"/>
        <v/>
      </c>
      <c r="AB11" s="316" t="str">
        <f t="shared" si="30"/>
        <v/>
      </c>
      <c r="AC11" s="316" t="str">
        <f t="shared" si="31"/>
        <v/>
      </c>
      <c r="AD11" s="316" t="str">
        <f t="shared" si="32"/>
        <v/>
      </c>
      <c r="AE11" s="316" t="str">
        <f t="shared" si="33"/>
        <v/>
      </c>
      <c r="AF11" s="316" t="str">
        <f t="shared" si="34"/>
        <v/>
      </c>
      <c r="AG11" s="317"/>
      <c r="AH11" s="316">
        <f t="shared" si="35"/>
        <v>6</v>
      </c>
      <c r="AI11" s="316" t="str">
        <f t="shared" si="36"/>
        <v/>
      </c>
      <c r="AJ11" s="316" t="str">
        <f t="shared" si="37"/>
        <v/>
      </c>
      <c r="AK11" s="316" t="str">
        <f t="shared" si="38"/>
        <v/>
      </c>
      <c r="AL11" s="316" t="str">
        <f t="shared" si="39"/>
        <v/>
      </c>
      <c r="AM11" s="316" t="str">
        <f t="shared" si="40"/>
        <v/>
      </c>
      <c r="AN11" s="316" t="str">
        <f t="shared" si="41"/>
        <v/>
      </c>
      <c r="AO11" s="316" t="str">
        <f t="shared" si="42"/>
        <v/>
      </c>
      <c r="AP11" s="317"/>
      <c r="AQ11" s="316" t="str">
        <f t="shared" si="43"/>
        <v/>
      </c>
      <c r="AR11" s="316" t="str">
        <f t="shared" si="44"/>
        <v/>
      </c>
      <c r="AS11" s="316" t="str">
        <f t="shared" si="45"/>
        <v/>
      </c>
      <c r="AT11" s="316" t="str">
        <f t="shared" si="46"/>
        <v/>
      </c>
      <c r="AU11" s="316" t="str">
        <f t="shared" si="47"/>
        <v/>
      </c>
      <c r="AV11" s="316" t="str">
        <f t="shared" si="48"/>
        <v/>
      </c>
      <c r="AW11" s="316" t="str">
        <f t="shared" si="49"/>
        <v/>
      </c>
      <c r="AX11" s="316" t="str">
        <f t="shared" si="50"/>
        <v/>
      </c>
      <c r="AY11" s="317"/>
      <c r="AZ11" s="316">
        <f t="shared" si="51"/>
        <v>3</v>
      </c>
      <c r="BA11" s="316" t="str">
        <f t="shared" si="52"/>
        <v/>
      </c>
      <c r="BB11" s="316" t="str">
        <f t="shared" si="53"/>
        <v/>
      </c>
      <c r="BC11" s="316" t="str">
        <f t="shared" si="54"/>
        <v/>
      </c>
      <c r="BD11" s="316" t="str">
        <f t="shared" si="55"/>
        <v/>
      </c>
      <c r="BE11" s="316" t="str">
        <f t="shared" si="56"/>
        <v/>
      </c>
      <c r="BF11" s="316" t="str">
        <f t="shared" si="57"/>
        <v/>
      </c>
      <c r="BG11" s="316" t="str">
        <f t="shared" si="58"/>
        <v/>
      </c>
      <c r="BH11" s="317"/>
      <c r="BI11" s="318"/>
      <c r="BJ11" s="319" t="str">
        <f t="shared" si="59"/>
        <v>P</v>
      </c>
      <c r="BK11" s="317"/>
      <c r="BL11" s="316" t="str">
        <f t="shared" si="10"/>
        <v>P</v>
      </c>
      <c r="BM11" s="316" t="str">
        <f t="shared" si="11"/>
        <v/>
      </c>
      <c r="BN11" s="316" t="str">
        <f t="shared" si="12"/>
        <v/>
      </c>
      <c r="BO11" s="316" t="str">
        <f t="shared" si="13"/>
        <v/>
      </c>
      <c r="BP11" s="316" t="str">
        <f t="shared" si="14"/>
        <v/>
      </c>
      <c r="BQ11" s="316" t="str">
        <f t="shared" si="15"/>
        <v/>
      </c>
      <c r="BR11" s="316" t="str">
        <f t="shared" si="16"/>
        <v/>
      </c>
      <c r="BS11" s="316" t="str">
        <f t="shared" si="17"/>
        <v/>
      </c>
      <c r="BT11" s="317"/>
      <c r="BU11" s="316">
        <f t="shared" si="18"/>
        <v>1</v>
      </c>
      <c r="BV11" s="1042"/>
      <c r="BW11" s="316" t="str">
        <f t="shared" si="60"/>
        <v>X</v>
      </c>
      <c r="BX11" s="316"/>
      <c r="BY11" s="316"/>
      <c r="BZ11" s="316"/>
      <c r="CA11" s="316"/>
      <c r="CB11" s="316"/>
      <c r="CC11" s="316"/>
      <c r="CD11" s="316"/>
    </row>
    <row r="12" spans="1:82" s="295" customFormat="1" ht="24" customHeight="1">
      <c r="A12" s="747">
        <v>7</v>
      </c>
      <c r="B12" s="746" t="s">
        <v>1200</v>
      </c>
      <c r="C12" s="746" t="str">
        <f t="shared" si="61"/>
        <v>Santa Fe de Antioquia</v>
      </c>
      <c r="D12" s="746" t="s">
        <v>1195</v>
      </c>
      <c r="E12" s="746">
        <v>1</v>
      </c>
      <c r="F12" s="746">
        <v>3</v>
      </c>
      <c r="G12" s="746" t="s">
        <v>1192</v>
      </c>
      <c r="H12" s="746" t="s">
        <v>377</v>
      </c>
      <c r="I12" s="746">
        <v>14</v>
      </c>
      <c r="J12" s="746">
        <v>6</v>
      </c>
      <c r="K12" s="746">
        <v>3</v>
      </c>
      <c r="L12" s="746" t="s">
        <v>377</v>
      </c>
      <c r="M12" s="746" t="s">
        <v>1193</v>
      </c>
      <c r="N12" s="746">
        <v>28</v>
      </c>
      <c r="O12" s="293"/>
      <c r="P12" s="315" t="str">
        <f t="shared" si="19"/>
        <v>X</v>
      </c>
      <c r="Q12" s="316" t="str">
        <f t="shared" si="20"/>
        <v/>
      </c>
      <c r="R12" s="316" t="str">
        <f t="shared" si="21"/>
        <v/>
      </c>
      <c r="S12" s="316" t="str">
        <f t="shared" si="22"/>
        <v/>
      </c>
      <c r="T12" s="316" t="str">
        <f t="shared" si="23"/>
        <v/>
      </c>
      <c r="U12" s="316" t="str">
        <f t="shared" si="24"/>
        <v/>
      </c>
      <c r="V12" s="316" t="str">
        <f t="shared" si="25"/>
        <v/>
      </c>
      <c r="W12" s="316" t="str">
        <f t="shared" si="26"/>
        <v/>
      </c>
      <c r="X12" s="317"/>
      <c r="Y12" s="316">
        <f t="shared" si="27"/>
        <v>14</v>
      </c>
      <c r="Z12" s="316" t="str">
        <f t="shared" si="28"/>
        <v/>
      </c>
      <c r="AA12" s="316" t="str">
        <f t="shared" si="29"/>
        <v/>
      </c>
      <c r="AB12" s="316" t="str">
        <f t="shared" si="30"/>
        <v/>
      </c>
      <c r="AC12" s="316" t="str">
        <f t="shared" si="31"/>
        <v/>
      </c>
      <c r="AD12" s="316" t="str">
        <f t="shared" si="32"/>
        <v/>
      </c>
      <c r="AE12" s="316" t="str">
        <f t="shared" si="33"/>
        <v/>
      </c>
      <c r="AF12" s="316" t="str">
        <f t="shared" si="34"/>
        <v/>
      </c>
      <c r="AG12" s="317"/>
      <c r="AH12" s="316">
        <f t="shared" si="35"/>
        <v>6</v>
      </c>
      <c r="AI12" s="316" t="str">
        <f t="shared" si="36"/>
        <v/>
      </c>
      <c r="AJ12" s="316" t="str">
        <f t="shared" si="37"/>
        <v/>
      </c>
      <c r="AK12" s="316" t="str">
        <f t="shared" si="38"/>
        <v/>
      </c>
      <c r="AL12" s="316" t="str">
        <f t="shared" si="39"/>
        <v/>
      </c>
      <c r="AM12" s="316" t="str">
        <f t="shared" si="40"/>
        <v/>
      </c>
      <c r="AN12" s="316" t="str">
        <f t="shared" si="41"/>
        <v/>
      </c>
      <c r="AO12" s="316" t="str">
        <f t="shared" si="42"/>
        <v/>
      </c>
      <c r="AP12" s="317"/>
      <c r="AQ12" s="316" t="str">
        <f t="shared" si="43"/>
        <v/>
      </c>
      <c r="AR12" s="316" t="str">
        <f t="shared" si="44"/>
        <v/>
      </c>
      <c r="AS12" s="316" t="str">
        <f t="shared" si="45"/>
        <v/>
      </c>
      <c r="AT12" s="316" t="str">
        <f t="shared" si="46"/>
        <v/>
      </c>
      <c r="AU12" s="316" t="str">
        <f t="shared" si="47"/>
        <v/>
      </c>
      <c r="AV12" s="316" t="str">
        <f t="shared" si="48"/>
        <v/>
      </c>
      <c r="AW12" s="316" t="str">
        <f t="shared" si="49"/>
        <v/>
      </c>
      <c r="AX12" s="316" t="str">
        <f t="shared" si="50"/>
        <v/>
      </c>
      <c r="AY12" s="317"/>
      <c r="AZ12" s="316">
        <f t="shared" si="51"/>
        <v>3</v>
      </c>
      <c r="BA12" s="316" t="str">
        <f t="shared" si="52"/>
        <v/>
      </c>
      <c r="BB12" s="316" t="str">
        <f t="shared" si="53"/>
        <v/>
      </c>
      <c r="BC12" s="316" t="str">
        <f t="shared" si="54"/>
        <v/>
      </c>
      <c r="BD12" s="316" t="str">
        <f t="shared" si="55"/>
        <v/>
      </c>
      <c r="BE12" s="316" t="str">
        <f t="shared" si="56"/>
        <v/>
      </c>
      <c r="BF12" s="316" t="str">
        <f t="shared" si="57"/>
        <v/>
      </c>
      <c r="BG12" s="316" t="str">
        <f t="shared" si="58"/>
        <v/>
      </c>
      <c r="BH12" s="317"/>
      <c r="BI12" s="318"/>
      <c r="BJ12" s="319" t="str">
        <f t="shared" si="59"/>
        <v>P</v>
      </c>
      <c r="BK12" s="317"/>
      <c r="BL12" s="316" t="str">
        <f t="shared" si="10"/>
        <v>P</v>
      </c>
      <c r="BM12" s="316" t="str">
        <f t="shared" si="11"/>
        <v/>
      </c>
      <c r="BN12" s="316" t="str">
        <f t="shared" si="12"/>
        <v/>
      </c>
      <c r="BO12" s="316" t="str">
        <f t="shared" si="13"/>
        <v/>
      </c>
      <c r="BP12" s="316" t="str">
        <f t="shared" si="14"/>
        <v/>
      </c>
      <c r="BQ12" s="316" t="str">
        <f t="shared" si="15"/>
        <v/>
      </c>
      <c r="BR12" s="316" t="str">
        <f t="shared" si="16"/>
        <v/>
      </c>
      <c r="BS12" s="316" t="str">
        <f t="shared" si="17"/>
        <v/>
      </c>
      <c r="BT12" s="317"/>
      <c r="BU12" s="316">
        <f t="shared" si="18"/>
        <v>1</v>
      </c>
      <c r="BV12" s="1042"/>
      <c r="BW12" s="316" t="str">
        <f t="shared" si="60"/>
        <v>X</v>
      </c>
      <c r="BX12" s="316"/>
      <c r="BY12" s="316"/>
      <c r="BZ12" s="316"/>
      <c r="CA12" s="316"/>
      <c r="CB12" s="316"/>
      <c r="CC12" s="316"/>
      <c r="CD12" s="316"/>
    </row>
    <row r="13" spans="1:82" s="295" customFormat="1" ht="24" customHeight="1">
      <c r="A13" s="747">
        <v>8</v>
      </c>
      <c r="B13" s="746" t="s">
        <v>1201</v>
      </c>
      <c r="C13" s="746" t="str">
        <f t="shared" si="61"/>
        <v>Santa Fe de Antioquia</v>
      </c>
      <c r="D13" s="746" t="s">
        <v>1195</v>
      </c>
      <c r="E13" s="746">
        <v>1</v>
      </c>
      <c r="F13" s="746">
        <v>5</v>
      </c>
      <c r="G13" s="746" t="s">
        <v>1192</v>
      </c>
      <c r="H13" s="746" t="s">
        <v>377</v>
      </c>
      <c r="I13" s="746">
        <v>11</v>
      </c>
      <c r="J13" s="746">
        <v>6</v>
      </c>
      <c r="K13" s="746">
        <v>3</v>
      </c>
      <c r="L13" s="746" t="s">
        <v>377</v>
      </c>
      <c r="M13" s="746" t="s">
        <v>1193</v>
      </c>
      <c r="N13" s="746">
        <v>28</v>
      </c>
      <c r="O13" s="293"/>
      <c r="P13" s="315" t="str">
        <f t="shared" si="19"/>
        <v>X</v>
      </c>
      <c r="Q13" s="316" t="str">
        <f t="shared" si="20"/>
        <v/>
      </c>
      <c r="R13" s="316" t="str">
        <f t="shared" si="21"/>
        <v/>
      </c>
      <c r="S13" s="316" t="str">
        <f t="shared" si="22"/>
        <v/>
      </c>
      <c r="T13" s="316" t="str">
        <f t="shared" si="23"/>
        <v/>
      </c>
      <c r="U13" s="316" t="str">
        <f t="shared" si="24"/>
        <v/>
      </c>
      <c r="V13" s="316" t="str">
        <f t="shared" si="25"/>
        <v/>
      </c>
      <c r="W13" s="316" t="str">
        <f t="shared" si="26"/>
        <v/>
      </c>
      <c r="X13" s="317"/>
      <c r="Y13" s="316">
        <f t="shared" si="27"/>
        <v>11</v>
      </c>
      <c r="Z13" s="316" t="str">
        <f t="shared" si="28"/>
        <v/>
      </c>
      <c r="AA13" s="316" t="str">
        <f t="shared" si="29"/>
        <v/>
      </c>
      <c r="AB13" s="316" t="str">
        <f t="shared" si="30"/>
        <v/>
      </c>
      <c r="AC13" s="316" t="str">
        <f t="shared" si="31"/>
        <v/>
      </c>
      <c r="AD13" s="316" t="str">
        <f t="shared" si="32"/>
        <v/>
      </c>
      <c r="AE13" s="316" t="str">
        <f t="shared" si="33"/>
        <v/>
      </c>
      <c r="AF13" s="316" t="str">
        <f t="shared" si="34"/>
        <v/>
      </c>
      <c r="AG13" s="317"/>
      <c r="AH13" s="316">
        <f t="shared" si="35"/>
        <v>6</v>
      </c>
      <c r="AI13" s="316" t="str">
        <f t="shared" si="36"/>
        <v/>
      </c>
      <c r="AJ13" s="316" t="str">
        <f t="shared" si="37"/>
        <v/>
      </c>
      <c r="AK13" s="316" t="str">
        <f t="shared" si="38"/>
        <v/>
      </c>
      <c r="AL13" s="316" t="str">
        <f t="shared" si="39"/>
        <v/>
      </c>
      <c r="AM13" s="316" t="str">
        <f t="shared" si="40"/>
        <v/>
      </c>
      <c r="AN13" s="316" t="str">
        <f t="shared" si="41"/>
        <v/>
      </c>
      <c r="AO13" s="316" t="str">
        <f t="shared" si="42"/>
        <v/>
      </c>
      <c r="AP13" s="317"/>
      <c r="AQ13" s="316" t="str">
        <f t="shared" si="43"/>
        <v/>
      </c>
      <c r="AR13" s="316" t="str">
        <f t="shared" si="44"/>
        <v/>
      </c>
      <c r="AS13" s="316" t="str">
        <f t="shared" si="45"/>
        <v/>
      </c>
      <c r="AT13" s="316" t="str">
        <f t="shared" si="46"/>
        <v/>
      </c>
      <c r="AU13" s="316" t="str">
        <f t="shared" si="47"/>
        <v/>
      </c>
      <c r="AV13" s="316" t="str">
        <f t="shared" si="48"/>
        <v/>
      </c>
      <c r="AW13" s="316" t="str">
        <f t="shared" si="49"/>
        <v/>
      </c>
      <c r="AX13" s="316" t="str">
        <f t="shared" si="50"/>
        <v/>
      </c>
      <c r="AY13" s="317"/>
      <c r="AZ13" s="316">
        <f t="shared" si="51"/>
        <v>3</v>
      </c>
      <c r="BA13" s="316" t="str">
        <f t="shared" si="52"/>
        <v/>
      </c>
      <c r="BB13" s="316" t="str">
        <f t="shared" si="53"/>
        <v/>
      </c>
      <c r="BC13" s="316" t="str">
        <f t="shared" si="54"/>
        <v/>
      </c>
      <c r="BD13" s="316" t="str">
        <f t="shared" si="55"/>
        <v/>
      </c>
      <c r="BE13" s="316" t="str">
        <f t="shared" si="56"/>
        <v/>
      </c>
      <c r="BF13" s="316" t="str">
        <f t="shared" si="57"/>
        <v/>
      </c>
      <c r="BG13" s="316" t="str">
        <f t="shared" si="58"/>
        <v/>
      </c>
      <c r="BH13" s="317"/>
      <c r="BI13" s="318"/>
      <c r="BJ13" s="319" t="str">
        <f t="shared" si="59"/>
        <v>P</v>
      </c>
      <c r="BK13" s="317"/>
      <c r="BL13" s="316" t="str">
        <f t="shared" si="10"/>
        <v>P</v>
      </c>
      <c r="BM13" s="316" t="str">
        <f t="shared" si="11"/>
        <v/>
      </c>
      <c r="BN13" s="316" t="str">
        <f t="shared" si="12"/>
        <v/>
      </c>
      <c r="BO13" s="316" t="str">
        <f t="shared" si="13"/>
        <v/>
      </c>
      <c r="BP13" s="316" t="str">
        <f t="shared" si="14"/>
        <v/>
      </c>
      <c r="BQ13" s="316" t="str">
        <f t="shared" si="15"/>
        <v/>
      </c>
      <c r="BR13" s="316" t="str">
        <f t="shared" si="16"/>
        <v/>
      </c>
      <c r="BS13" s="316" t="str">
        <f t="shared" si="17"/>
        <v/>
      </c>
      <c r="BT13" s="317"/>
      <c r="BU13" s="316">
        <f t="shared" si="18"/>
        <v>1</v>
      </c>
      <c r="BV13" s="1042"/>
      <c r="BW13" s="316" t="str">
        <f t="shared" si="60"/>
        <v>X</v>
      </c>
      <c r="BX13" s="316"/>
      <c r="BY13" s="316"/>
      <c r="BZ13" s="316"/>
      <c r="CA13" s="316"/>
      <c r="CB13" s="316"/>
      <c r="CC13" s="316"/>
      <c r="CD13" s="316"/>
    </row>
    <row r="14" spans="1:82" s="295" customFormat="1" ht="24" customHeight="1">
      <c r="A14" s="747">
        <v>9</v>
      </c>
      <c r="B14" s="746" t="s">
        <v>1202</v>
      </c>
      <c r="C14" s="746" t="str">
        <f t="shared" si="61"/>
        <v>Santa Fe de Antioquia</v>
      </c>
      <c r="D14" s="746" t="s">
        <v>1195</v>
      </c>
      <c r="E14" s="746">
        <v>1</v>
      </c>
      <c r="F14" s="746">
        <v>3</v>
      </c>
      <c r="G14" s="746" t="s">
        <v>1192</v>
      </c>
      <c r="H14" s="746" t="s">
        <v>377</v>
      </c>
      <c r="I14" s="746">
        <v>9</v>
      </c>
      <c r="J14" s="746">
        <v>6</v>
      </c>
      <c r="K14" s="746">
        <v>3</v>
      </c>
      <c r="L14" s="746" t="s">
        <v>377</v>
      </c>
      <c r="M14" s="746" t="s">
        <v>1193</v>
      </c>
      <c r="N14" s="746">
        <v>28</v>
      </c>
      <c r="O14" s="293"/>
      <c r="P14" s="315" t="str">
        <f t="shared" si="19"/>
        <v>X</v>
      </c>
      <c r="Q14" s="316" t="str">
        <f t="shared" si="20"/>
        <v/>
      </c>
      <c r="R14" s="316" t="str">
        <f t="shared" si="21"/>
        <v/>
      </c>
      <c r="S14" s="316" t="str">
        <f t="shared" si="22"/>
        <v/>
      </c>
      <c r="T14" s="316" t="str">
        <f t="shared" si="23"/>
        <v/>
      </c>
      <c r="U14" s="316" t="str">
        <f t="shared" si="24"/>
        <v/>
      </c>
      <c r="V14" s="316" t="str">
        <f t="shared" si="25"/>
        <v/>
      </c>
      <c r="W14" s="316" t="str">
        <f t="shared" si="26"/>
        <v/>
      </c>
      <c r="X14" s="317"/>
      <c r="Y14" s="316">
        <f t="shared" si="27"/>
        <v>9</v>
      </c>
      <c r="Z14" s="316" t="str">
        <f t="shared" si="28"/>
        <v/>
      </c>
      <c r="AA14" s="316" t="str">
        <f t="shared" si="29"/>
        <v/>
      </c>
      <c r="AB14" s="316" t="str">
        <f t="shared" si="30"/>
        <v/>
      </c>
      <c r="AC14" s="316" t="str">
        <f t="shared" si="31"/>
        <v/>
      </c>
      <c r="AD14" s="316" t="str">
        <f t="shared" si="32"/>
        <v/>
      </c>
      <c r="AE14" s="316" t="str">
        <f t="shared" si="33"/>
        <v/>
      </c>
      <c r="AF14" s="316" t="str">
        <f t="shared" si="34"/>
        <v/>
      </c>
      <c r="AG14" s="317"/>
      <c r="AH14" s="316">
        <f t="shared" si="35"/>
        <v>6</v>
      </c>
      <c r="AI14" s="316" t="str">
        <f t="shared" si="36"/>
        <v/>
      </c>
      <c r="AJ14" s="316" t="str">
        <f t="shared" si="37"/>
        <v/>
      </c>
      <c r="AK14" s="316" t="str">
        <f t="shared" si="38"/>
        <v/>
      </c>
      <c r="AL14" s="316" t="str">
        <f t="shared" si="39"/>
        <v/>
      </c>
      <c r="AM14" s="316" t="str">
        <f t="shared" si="40"/>
        <v/>
      </c>
      <c r="AN14" s="316" t="str">
        <f t="shared" si="41"/>
        <v/>
      </c>
      <c r="AO14" s="316" t="str">
        <f t="shared" si="42"/>
        <v/>
      </c>
      <c r="AP14" s="317"/>
      <c r="AQ14" s="316" t="str">
        <f t="shared" si="43"/>
        <v/>
      </c>
      <c r="AR14" s="316" t="str">
        <f t="shared" si="44"/>
        <v/>
      </c>
      <c r="AS14" s="316" t="str">
        <f t="shared" si="45"/>
        <v/>
      </c>
      <c r="AT14" s="316" t="str">
        <f t="shared" si="46"/>
        <v/>
      </c>
      <c r="AU14" s="316" t="str">
        <f t="shared" si="47"/>
        <v/>
      </c>
      <c r="AV14" s="316" t="str">
        <f t="shared" si="48"/>
        <v/>
      </c>
      <c r="AW14" s="316" t="str">
        <f t="shared" si="49"/>
        <v/>
      </c>
      <c r="AX14" s="316" t="str">
        <f t="shared" si="50"/>
        <v/>
      </c>
      <c r="AY14" s="317"/>
      <c r="AZ14" s="316">
        <f t="shared" si="51"/>
        <v>3</v>
      </c>
      <c r="BA14" s="316" t="str">
        <f t="shared" si="52"/>
        <v/>
      </c>
      <c r="BB14" s="316" t="str">
        <f t="shared" si="53"/>
        <v/>
      </c>
      <c r="BC14" s="316" t="str">
        <f t="shared" si="54"/>
        <v/>
      </c>
      <c r="BD14" s="316" t="str">
        <f t="shared" si="55"/>
        <v/>
      </c>
      <c r="BE14" s="316" t="str">
        <f t="shared" si="56"/>
        <v/>
      </c>
      <c r="BF14" s="316" t="str">
        <f t="shared" si="57"/>
        <v/>
      </c>
      <c r="BG14" s="316" t="str">
        <f t="shared" si="58"/>
        <v/>
      </c>
      <c r="BH14" s="317"/>
      <c r="BI14" s="318"/>
      <c r="BJ14" s="319" t="str">
        <f t="shared" si="59"/>
        <v>P</v>
      </c>
      <c r="BK14" s="317"/>
      <c r="BL14" s="316" t="str">
        <f t="shared" si="10"/>
        <v>P</v>
      </c>
      <c r="BM14" s="316" t="str">
        <f t="shared" si="11"/>
        <v/>
      </c>
      <c r="BN14" s="316" t="str">
        <f t="shared" si="12"/>
        <v/>
      </c>
      <c r="BO14" s="316" t="str">
        <f t="shared" si="13"/>
        <v/>
      </c>
      <c r="BP14" s="316" t="str">
        <f t="shared" si="14"/>
        <v/>
      </c>
      <c r="BQ14" s="316" t="str">
        <f t="shared" si="15"/>
        <v/>
      </c>
      <c r="BR14" s="316" t="str">
        <f t="shared" si="16"/>
        <v/>
      </c>
      <c r="BS14" s="316" t="str">
        <f t="shared" si="17"/>
        <v/>
      </c>
      <c r="BT14" s="317"/>
      <c r="BU14" s="316">
        <f t="shared" si="18"/>
        <v>1</v>
      </c>
      <c r="BV14" s="1042"/>
      <c r="BW14" s="316" t="str">
        <f t="shared" si="60"/>
        <v>X</v>
      </c>
      <c r="BX14" s="316"/>
      <c r="BY14" s="316"/>
      <c r="BZ14" s="316"/>
      <c r="CA14" s="316"/>
      <c r="CB14" s="316"/>
      <c r="CC14" s="316"/>
      <c r="CD14" s="316"/>
    </row>
    <row r="15" spans="1:82" s="295" customFormat="1" ht="24" customHeight="1">
      <c r="A15" s="747">
        <v>10</v>
      </c>
      <c r="B15" s="746" t="s">
        <v>1203</v>
      </c>
      <c r="C15" s="746" t="str">
        <f t="shared" si="61"/>
        <v>Santa Fe de Antioquia</v>
      </c>
      <c r="D15" s="746" t="s">
        <v>1195</v>
      </c>
      <c r="E15" s="746">
        <v>1</v>
      </c>
      <c r="F15" s="746">
        <v>3</v>
      </c>
      <c r="G15" s="746" t="s">
        <v>1192</v>
      </c>
      <c r="H15" s="746" t="s">
        <v>377</v>
      </c>
      <c r="I15" s="746">
        <v>14</v>
      </c>
      <c r="J15" s="746">
        <v>6</v>
      </c>
      <c r="K15" s="746">
        <v>3</v>
      </c>
      <c r="L15" s="746" t="s">
        <v>377</v>
      </c>
      <c r="M15" s="746" t="s">
        <v>1193</v>
      </c>
      <c r="N15" s="746">
        <v>28</v>
      </c>
      <c r="O15" s="293"/>
      <c r="P15" s="315" t="str">
        <f t="shared" si="19"/>
        <v>X</v>
      </c>
      <c r="Q15" s="316" t="str">
        <f t="shared" si="20"/>
        <v/>
      </c>
      <c r="R15" s="316" t="str">
        <f t="shared" si="21"/>
        <v/>
      </c>
      <c r="S15" s="316" t="str">
        <f t="shared" si="22"/>
        <v/>
      </c>
      <c r="T15" s="316" t="str">
        <f t="shared" si="23"/>
        <v/>
      </c>
      <c r="U15" s="316" t="str">
        <f t="shared" si="24"/>
        <v/>
      </c>
      <c r="V15" s="316" t="str">
        <f t="shared" si="25"/>
        <v/>
      </c>
      <c r="W15" s="316" t="str">
        <f t="shared" si="26"/>
        <v/>
      </c>
      <c r="X15" s="317"/>
      <c r="Y15" s="316">
        <f t="shared" si="27"/>
        <v>14</v>
      </c>
      <c r="Z15" s="316" t="str">
        <f t="shared" si="28"/>
        <v/>
      </c>
      <c r="AA15" s="316" t="str">
        <f t="shared" si="29"/>
        <v/>
      </c>
      <c r="AB15" s="316" t="str">
        <f t="shared" si="30"/>
        <v/>
      </c>
      <c r="AC15" s="316" t="str">
        <f t="shared" si="31"/>
        <v/>
      </c>
      <c r="AD15" s="316" t="str">
        <f t="shared" si="32"/>
        <v/>
      </c>
      <c r="AE15" s="316" t="str">
        <f t="shared" si="33"/>
        <v/>
      </c>
      <c r="AF15" s="316" t="str">
        <f t="shared" si="34"/>
        <v/>
      </c>
      <c r="AG15" s="317"/>
      <c r="AH15" s="316">
        <f t="shared" si="35"/>
        <v>6</v>
      </c>
      <c r="AI15" s="316" t="str">
        <f t="shared" si="36"/>
        <v/>
      </c>
      <c r="AJ15" s="316" t="str">
        <f t="shared" si="37"/>
        <v/>
      </c>
      <c r="AK15" s="316" t="str">
        <f t="shared" si="38"/>
        <v/>
      </c>
      <c r="AL15" s="316" t="str">
        <f t="shared" si="39"/>
        <v/>
      </c>
      <c r="AM15" s="316" t="str">
        <f t="shared" si="40"/>
        <v/>
      </c>
      <c r="AN15" s="316" t="str">
        <f t="shared" si="41"/>
        <v/>
      </c>
      <c r="AO15" s="316" t="str">
        <f t="shared" si="42"/>
        <v/>
      </c>
      <c r="AP15" s="317"/>
      <c r="AQ15" s="316" t="str">
        <f t="shared" si="43"/>
        <v/>
      </c>
      <c r="AR15" s="316" t="str">
        <f t="shared" si="44"/>
        <v/>
      </c>
      <c r="AS15" s="316" t="str">
        <f t="shared" si="45"/>
        <v/>
      </c>
      <c r="AT15" s="316" t="str">
        <f t="shared" si="46"/>
        <v/>
      </c>
      <c r="AU15" s="316" t="str">
        <f t="shared" si="47"/>
        <v/>
      </c>
      <c r="AV15" s="316" t="str">
        <f t="shared" si="48"/>
        <v/>
      </c>
      <c r="AW15" s="316" t="str">
        <f t="shared" si="49"/>
        <v/>
      </c>
      <c r="AX15" s="316" t="str">
        <f t="shared" si="50"/>
        <v/>
      </c>
      <c r="AY15" s="317"/>
      <c r="AZ15" s="316">
        <f t="shared" si="51"/>
        <v>3</v>
      </c>
      <c r="BA15" s="316" t="str">
        <f t="shared" si="52"/>
        <v/>
      </c>
      <c r="BB15" s="316" t="str">
        <f t="shared" si="53"/>
        <v/>
      </c>
      <c r="BC15" s="316" t="str">
        <f t="shared" si="54"/>
        <v/>
      </c>
      <c r="BD15" s="316" t="str">
        <f t="shared" si="55"/>
        <v/>
      </c>
      <c r="BE15" s="316" t="str">
        <f t="shared" si="56"/>
        <v/>
      </c>
      <c r="BF15" s="316" t="str">
        <f t="shared" si="57"/>
        <v/>
      </c>
      <c r="BG15" s="316" t="str">
        <f t="shared" si="58"/>
        <v/>
      </c>
      <c r="BH15" s="317"/>
      <c r="BI15" s="318"/>
      <c r="BJ15" s="319" t="str">
        <f t="shared" si="59"/>
        <v>P</v>
      </c>
      <c r="BK15" s="317"/>
      <c r="BL15" s="316" t="str">
        <f t="shared" si="10"/>
        <v>P</v>
      </c>
      <c r="BM15" s="316" t="str">
        <f t="shared" si="11"/>
        <v/>
      </c>
      <c r="BN15" s="316" t="str">
        <f t="shared" si="12"/>
        <v/>
      </c>
      <c r="BO15" s="316" t="str">
        <f t="shared" si="13"/>
        <v/>
      </c>
      <c r="BP15" s="316" t="str">
        <f t="shared" si="14"/>
        <v/>
      </c>
      <c r="BQ15" s="316" t="str">
        <f t="shared" si="15"/>
        <v/>
      </c>
      <c r="BR15" s="316" t="str">
        <f t="shared" si="16"/>
        <v/>
      </c>
      <c r="BS15" s="316" t="str">
        <f t="shared" si="17"/>
        <v/>
      </c>
      <c r="BT15" s="317"/>
      <c r="BU15" s="316">
        <f t="shared" si="18"/>
        <v>1</v>
      </c>
      <c r="BV15" s="1042"/>
      <c r="BW15" s="316" t="str">
        <f t="shared" si="60"/>
        <v>X</v>
      </c>
      <c r="BX15" s="316"/>
      <c r="BY15" s="316"/>
      <c r="BZ15" s="316"/>
      <c r="CA15" s="316"/>
      <c r="CB15" s="316"/>
      <c r="CC15" s="316"/>
      <c r="CD15" s="316"/>
    </row>
    <row r="16" spans="1:82" s="295" customFormat="1" ht="24" customHeight="1">
      <c r="A16" s="747">
        <v>11</v>
      </c>
      <c r="B16" s="746" t="s">
        <v>1204</v>
      </c>
      <c r="C16" s="746" t="str">
        <f t="shared" si="61"/>
        <v>Santa Fe de Antioquia</v>
      </c>
      <c r="D16" s="746" t="s">
        <v>1205</v>
      </c>
      <c r="E16" s="746">
        <v>1</v>
      </c>
      <c r="F16" s="746">
        <v>3</v>
      </c>
      <c r="G16" s="746" t="s">
        <v>1192</v>
      </c>
      <c r="H16" s="746" t="s">
        <v>377</v>
      </c>
      <c r="I16" s="746">
        <v>11</v>
      </c>
      <c r="J16" s="746">
        <v>6</v>
      </c>
      <c r="K16" s="746">
        <v>3</v>
      </c>
      <c r="L16" s="746" t="s">
        <v>377</v>
      </c>
      <c r="M16" s="746" t="s">
        <v>1193</v>
      </c>
      <c r="N16" s="746">
        <v>30</v>
      </c>
      <c r="O16" s="293"/>
      <c r="P16" s="315" t="str">
        <f t="shared" si="19"/>
        <v>X</v>
      </c>
      <c r="Q16" s="316" t="str">
        <f t="shared" si="20"/>
        <v/>
      </c>
      <c r="R16" s="316" t="str">
        <f t="shared" si="21"/>
        <v/>
      </c>
      <c r="S16" s="316" t="str">
        <f t="shared" si="22"/>
        <v/>
      </c>
      <c r="T16" s="316" t="str">
        <f t="shared" si="23"/>
        <v/>
      </c>
      <c r="U16" s="316" t="str">
        <f t="shared" si="24"/>
        <v/>
      </c>
      <c r="V16" s="316" t="str">
        <f t="shared" si="25"/>
        <v/>
      </c>
      <c r="W16" s="316" t="str">
        <f t="shared" si="26"/>
        <v/>
      </c>
      <c r="X16" s="317"/>
      <c r="Y16" s="316">
        <f t="shared" si="27"/>
        <v>11</v>
      </c>
      <c r="Z16" s="316" t="str">
        <f t="shared" si="28"/>
        <v/>
      </c>
      <c r="AA16" s="316" t="str">
        <f t="shared" si="29"/>
        <v/>
      </c>
      <c r="AB16" s="316" t="str">
        <f t="shared" si="30"/>
        <v/>
      </c>
      <c r="AC16" s="316" t="str">
        <f t="shared" si="31"/>
        <v/>
      </c>
      <c r="AD16" s="316" t="str">
        <f t="shared" si="32"/>
        <v/>
      </c>
      <c r="AE16" s="316" t="str">
        <f t="shared" si="33"/>
        <v/>
      </c>
      <c r="AF16" s="316" t="str">
        <f t="shared" si="34"/>
        <v/>
      </c>
      <c r="AG16" s="317"/>
      <c r="AH16" s="316">
        <f t="shared" si="35"/>
        <v>6</v>
      </c>
      <c r="AI16" s="316" t="str">
        <f t="shared" si="36"/>
        <v/>
      </c>
      <c r="AJ16" s="316" t="str">
        <f t="shared" si="37"/>
        <v/>
      </c>
      <c r="AK16" s="316" t="str">
        <f t="shared" si="38"/>
        <v/>
      </c>
      <c r="AL16" s="316" t="str">
        <f t="shared" si="39"/>
        <v/>
      </c>
      <c r="AM16" s="316" t="str">
        <f t="shared" si="40"/>
        <v/>
      </c>
      <c r="AN16" s="316" t="str">
        <f t="shared" si="41"/>
        <v/>
      </c>
      <c r="AO16" s="316" t="str">
        <f t="shared" si="42"/>
        <v/>
      </c>
      <c r="AP16" s="317"/>
      <c r="AQ16" s="316" t="str">
        <f t="shared" si="43"/>
        <v/>
      </c>
      <c r="AR16" s="316" t="str">
        <f t="shared" si="44"/>
        <v/>
      </c>
      <c r="AS16" s="316" t="str">
        <f t="shared" si="45"/>
        <v/>
      </c>
      <c r="AT16" s="316" t="str">
        <f t="shared" si="46"/>
        <v/>
      </c>
      <c r="AU16" s="316" t="str">
        <f t="shared" si="47"/>
        <v/>
      </c>
      <c r="AV16" s="316" t="str">
        <f t="shared" si="48"/>
        <v/>
      </c>
      <c r="AW16" s="316" t="str">
        <f t="shared" si="49"/>
        <v/>
      </c>
      <c r="AX16" s="316" t="str">
        <f t="shared" si="50"/>
        <v/>
      </c>
      <c r="AY16" s="317"/>
      <c r="AZ16" s="316">
        <f t="shared" si="51"/>
        <v>3</v>
      </c>
      <c r="BA16" s="316" t="str">
        <f t="shared" si="52"/>
        <v/>
      </c>
      <c r="BB16" s="316" t="str">
        <f t="shared" si="53"/>
        <v/>
      </c>
      <c r="BC16" s="316" t="str">
        <f t="shared" si="54"/>
        <v/>
      </c>
      <c r="BD16" s="316" t="str">
        <f t="shared" si="55"/>
        <v/>
      </c>
      <c r="BE16" s="316" t="str">
        <f t="shared" si="56"/>
        <v/>
      </c>
      <c r="BF16" s="316" t="str">
        <f t="shared" si="57"/>
        <v/>
      </c>
      <c r="BG16" s="316" t="str">
        <f t="shared" si="58"/>
        <v/>
      </c>
      <c r="BH16" s="317"/>
      <c r="BI16" s="318"/>
      <c r="BJ16" s="319" t="str">
        <f t="shared" si="59"/>
        <v>P</v>
      </c>
      <c r="BK16" s="317"/>
      <c r="BL16" s="316" t="str">
        <f t="shared" si="10"/>
        <v>P</v>
      </c>
      <c r="BM16" s="316" t="str">
        <f t="shared" si="11"/>
        <v/>
      </c>
      <c r="BN16" s="316" t="str">
        <f t="shared" si="12"/>
        <v/>
      </c>
      <c r="BO16" s="316" t="str">
        <f t="shared" si="13"/>
        <v/>
      </c>
      <c r="BP16" s="316" t="str">
        <f t="shared" si="14"/>
        <v/>
      </c>
      <c r="BQ16" s="316" t="str">
        <f t="shared" si="15"/>
        <v/>
      </c>
      <c r="BR16" s="316" t="str">
        <f t="shared" si="16"/>
        <v/>
      </c>
      <c r="BS16" s="316" t="str">
        <f t="shared" si="17"/>
        <v/>
      </c>
      <c r="BT16" s="317"/>
      <c r="BU16" s="316">
        <f t="shared" si="18"/>
        <v>1</v>
      </c>
      <c r="BV16" s="1042"/>
      <c r="BW16" s="316" t="str">
        <f t="shared" si="60"/>
        <v>X</v>
      </c>
      <c r="BX16" s="316"/>
      <c r="BY16" s="316"/>
      <c r="BZ16" s="316"/>
      <c r="CA16" s="316"/>
      <c r="CB16" s="316"/>
      <c r="CC16" s="316"/>
      <c r="CD16" s="316"/>
    </row>
    <row r="17" spans="1:82" s="295" customFormat="1" ht="24" customHeight="1">
      <c r="A17" s="747">
        <v>12</v>
      </c>
      <c r="B17" s="746" t="s">
        <v>1206</v>
      </c>
      <c r="C17" s="746" t="str">
        <f t="shared" si="61"/>
        <v>Santa Fe de Antioquia</v>
      </c>
      <c r="D17" s="746" t="s">
        <v>1205</v>
      </c>
      <c r="E17" s="746">
        <v>1</v>
      </c>
      <c r="F17" s="746">
        <v>3</v>
      </c>
      <c r="G17" s="746" t="s">
        <v>1192</v>
      </c>
      <c r="H17" s="746" t="s">
        <v>377</v>
      </c>
      <c r="I17" s="746">
        <v>15</v>
      </c>
      <c r="J17" s="746">
        <v>6</v>
      </c>
      <c r="K17" s="746">
        <v>3</v>
      </c>
      <c r="L17" s="746" t="s">
        <v>377</v>
      </c>
      <c r="M17" s="746" t="s">
        <v>1193</v>
      </c>
      <c r="N17" s="746">
        <v>26</v>
      </c>
      <c r="O17" s="293"/>
      <c r="P17" s="315" t="str">
        <f t="shared" si="19"/>
        <v>X</v>
      </c>
      <c r="Q17" s="316" t="str">
        <f t="shared" si="20"/>
        <v/>
      </c>
      <c r="R17" s="316" t="str">
        <f t="shared" si="21"/>
        <v/>
      </c>
      <c r="S17" s="316" t="str">
        <f t="shared" si="22"/>
        <v/>
      </c>
      <c r="T17" s="316" t="str">
        <f t="shared" si="23"/>
        <v/>
      </c>
      <c r="U17" s="316" t="str">
        <f t="shared" si="24"/>
        <v/>
      </c>
      <c r="V17" s="316" t="str">
        <f t="shared" si="25"/>
        <v/>
      </c>
      <c r="W17" s="316" t="str">
        <f t="shared" si="26"/>
        <v/>
      </c>
      <c r="X17" s="317"/>
      <c r="Y17" s="316">
        <f t="shared" si="27"/>
        <v>15</v>
      </c>
      <c r="Z17" s="316" t="str">
        <f t="shared" si="28"/>
        <v/>
      </c>
      <c r="AA17" s="316" t="str">
        <f t="shared" si="29"/>
        <v/>
      </c>
      <c r="AB17" s="316" t="str">
        <f t="shared" si="30"/>
        <v/>
      </c>
      <c r="AC17" s="316" t="str">
        <f t="shared" si="31"/>
        <v/>
      </c>
      <c r="AD17" s="316" t="str">
        <f t="shared" si="32"/>
        <v/>
      </c>
      <c r="AE17" s="316" t="str">
        <f t="shared" si="33"/>
        <v/>
      </c>
      <c r="AF17" s="316" t="str">
        <f t="shared" si="34"/>
        <v/>
      </c>
      <c r="AG17" s="317"/>
      <c r="AH17" s="316">
        <f t="shared" si="35"/>
        <v>6</v>
      </c>
      <c r="AI17" s="316" t="str">
        <f t="shared" si="36"/>
        <v/>
      </c>
      <c r="AJ17" s="316" t="str">
        <f t="shared" si="37"/>
        <v/>
      </c>
      <c r="AK17" s="316" t="str">
        <f t="shared" si="38"/>
        <v/>
      </c>
      <c r="AL17" s="316" t="str">
        <f t="shared" si="39"/>
        <v/>
      </c>
      <c r="AM17" s="316" t="str">
        <f t="shared" si="40"/>
        <v/>
      </c>
      <c r="AN17" s="316" t="str">
        <f t="shared" si="41"/>
        <v/>
      </c>
      <c r="AO17" s="316" t="str">
        <f t="shared" si="42"/>
        <v/>
      </c>
      <c r="AP17" s="317"/>
      <c r="AQ17" s="316" t="str">
        <f t="shared" si="43"/>
        <v/>
      </c>
      <c r="AR17" s="316" t="str">
        <f t="shared" si="44"/>
        <v/>
      </c>
      <c r="AS17" s="316" t="str">
        <f t="shared" si="45"/>
        <v/>
      </c>
      <c r="AT17" s="316" t="str">
        <f t="shared" si="46"/>
        <v/>
      </c>
      <c r="AU17" s="316" t="str">
        <f t="shared" si="47"/>
        <v/>
      </c>
      <c r="AV17" s="316" t="str">
        <f t="shared" si="48"/>
        <v/>
      </c>
      <c r="AW17" s="316" t="str">
        <f t="shared" si="49"/>
        <v/>
      </c>
      <c r="AX17" s="316" t="str">
        <f t="shared" si="50"/>
        <v/>
      </c>
      <c r="AY17" s="317"/>
      <c r="AZ17" s="316">
        <f t="shared" si="51"/>
        <v>3</v>
      </c>
      <c r="BA17" s="316" t="str">
        <f t="shared" si="52"/>
        <v/>
      </c>
      <c r="BB17" s="316" t="str">
        <f t="shared" si="53"/>
        <v/>
      </c>
      <c r="BC17" s="316" t="str">
        <f t="shared" si="54"/>
        <v/>
      </c>
      <c r="BD17" s="316" t="str">
        <f t="shared" si="55"/>
        <v/>
      </c>
      <c r="BE17" s="316" t="str">
        <f t="shared" si="56"/>
        <v/>
      </c>
      <c r="BF17" s="316" t="str">
        <f t="shared" si="57"/>
        <v/>
      </c>
      <c r="BG17" s="316" t="str">
        <f t="shared" si="58"/>
        <v/>
      </c>
      <c r="BH17" s="317"/>
      <c r="BI17" s="318"/>
      <c r="BJ17" s="319" t="str">
        <f t="shared" si="59"/>
        <v>P</v>
      </c>
      <c r="BK17" s="317"/>
      <c r="BL17" s="316" t="str">
        <f t="shared" si="10"/>
        <v>P</v>
      </c>
      <c r="BM17" s="316" t="str">
        <f t="shared" si="11"/>
        <v/>
      </c>
      <c r="BN17" s="316" t="str">
        <f t="shared" si="12"/>
        <v/>
      </c>
      <c r="BO17" s="316" t="str">
        <f t="shared" si="13"/>
        <v/>
      </c>
      <c r="BP17" s="316" t="str">
        <f t="shared" si="14"/>
        <v/>
      </c>
      <c r="BQ17" s="316" t="str">
        <f t="shared" si="15"/>
        <v/>
      </c>
      <c r="BR17" s="316" t="str">
        <f t="shared" si="16"/>
        <v/>
      </c>
      <c r="BS17" s="316" t="str">
        <f t="shared" si="17"/>
        <v/>
      </c>
      <c r="BT17" s="317"/>
      <c r="BU17" s="316">
        <f t="shared" si="18"/>
        <v>1</v>
      </c>
      <c r="BV17" s="1042"/>
      <c r="BW17" s="316" t="str">
        <f t="shared" si="60"/>
        <v>X</v>
      </c>
      <c r="BX17" s="316"/>
      <c r="BY17" s="316"/>
      <c r="BZ17" s="316"/>
      <c r="CA17" s="316"/>
      <c r="CB17" s="316"/>
      <c r="CC17" s="316"/>
      <c r="CD17" s="316"/>
    </row>
    <row r="18" spans="1:82" s="295" customFormat="1" ht="24" customHeight="1">
      <c r="A18" s="747">
        <v>13</v>
      </c>
      <c r="B18" s="746" t="s">
        <v>1207</v>
      </c>
      <c r="C18" s="746" t="str">
        <f t="shared" si="61"/>
        <v>Santa Fe de Antioquia</v>
      </c>
      <c r="D18" s="746" t="s">
        <v>1205</v>
      </c>
      <c r="E18" s="746">
        <v>1</v>
      </c>
      <c r="F18" s="746">
        <v>3</v>
      </c>
      <c r="G18" s="746" t="s">
        <v>1192</v>
      </c>
      <c r="H18" s="746" t="s">
        <v>377</v>
      </c>
      <c r="I18" s="746">
        <v>19</v>
      </c>
      <c r="J18" s="746">
        <v>6</v>
      </c>
      <c r="K18" s="746">
        <v>3</v>
      </c>
      <c r="L18" s="746" t="s">
        <v>377</v>
      </c>
      <c r="M18" s="746" t="s">
        <v>1193</v>
      </c>
      <c r="N18" s="746">
        <v>35</v>
      </c>
      <c r="O18" s="293"/>
      <c r="P18" s="315" t="str">
        <f t="shared" si="19"/>
        <v>X</v>
      </c>
      <c r="Q18" s="316" t="str">
        <f t="shared" si="20"/>
        <v/>
      </c>
      <c r="R18" s="316" t="str">
        <f t="shared" si="21"/>
        <v/>
      </c>
      <c r="S18" s="316" t="str">
        <f t="shared" si="22"/>
        <v/>
      </c>
      <c r="T18" s="316" t="str">
        <f t="shared" si="23"/>
        <v/>
      </c>
      <c r="U18" s="316" t="str">
        <f t="shared" si="24"/>
        <v/>
      </c>
      <c r="V18" s="316" t="str">
        <f t="shared" si="25"/>
        <v/>
      </c>
      <c r="W18" s="316" t="str">
        <f t="shared" si="26"/>
        <v/>
      </c>
      <c r="X18" s="317"/>
      <c r="Y18" s="316">
        <f t="shared" si="27"/>
        <v>19</v>
      </c>
      <c r="Z18" s="316" t="str">
        <f t="shared" si="28"/>
        <v/>
      </c>
      <c r="AA18" s="316" t="str">
        <f t="shared" si="29"/>
        <v/>
      </c>
      <c r="AB18" s="316" t="str">
        <f t="shared" si="30"/>
        <v/>
      </c>
      <c r="AC18" s="316" t="str">
        <f t="shared" si="31"/>
        <v/>
      </c>
      <c r="AD18" s="316" t="str">
        <f t="shared" si="32"/>
        <v/>
      </c>
      <c r="AE18" s="316" t="str">
        <f t="shared" si="33"/>
        <v/>
      </c>
      <c r="AF18" s="316" t="str">
        <f t="shared" si="34"/>
        <v/>
      </c>
      <c r="AG18" s="317"/>
      <c r="AH18" s="316">
        <f t="shared" si="35"/>
        <v>6</v>
      </c>
      <c r="AI18" s="316" t="str">
        <f t="shared" si="36"/>
        <v/>
      </c>
      <c r="AJ18" s="316" t="str">
        <f t="shared" si="37"/>
        <v/>
      </c>
      <c r="AK18" s="316" t="str">
        <f t="shared" si="38"/>
        <v/>
      </c>
      <c r="AL18" s="316" t="str">
        <f t="shared" si="39"/>
        <v/>
      </c>
      <c r="AM18" s="316" t="str">
        <f t="shared" si="40"/>
        <v/>
      </c>
      <c r="AN18" s="316" t="str">
        <f t="shared" si="41"/>
        <v/>
      </c>
      <c r="AO18" s="316" t="str">
        <f t="shared" si="42"/>
        <v/>
      </c>
      <c r="AP18" s="317"/>
      <c r="AQ18" s="316" t="str">
        <f t="shared" si="43"/>
        <v/>
      </c>
      <c r="AR18" s="316" t="str">
        <f t="shared" si="44"/>
        <v/>
      </c>
      <c r="AS18" s="316" t="str">
        <f t="shared" si="45"/>
        <v/>
      </c>
      <c r="AT18" s="316" t="str">
        <f t="shared" si="46"/>
        <v/>
      </c>
      <c r="AU18" s="316" t="str">
        <f t="shared" si="47"/>
        <v/>
      </c>
      <c r="AV18" s="316" t="str">
        <f t="shared" si="48"/>
        <v/>
      </c>
      <c r="AW18" s="316" t="str">
        <f t="shared" si="49"/>
        <v/>
      </c>
      <c r="AX18" s="316" t="str">
        <f t="shared" si="50"/>
        <v/>
      </c>
      <c r="AY18" s="317"/>
      <c r="AZ18" s="316">
        <f t="shared" si="51"/>
        <v>3</v>
      </c>
      <c r="BA18" s="316" t="str">
        <f t="shared" si="52"/>
        <v/>
      </c>
      <c r="BB18" s="316" t="str">
        <f t="shared" si="53"/>
        <v/>
      </c>
      <c r="BC18" s="316" t="str">
        <f t="shared" si="54"/>
        <v/>
      </c>
      <c r="BD18" s="316" t="str">
        <f t="shared" si="55"/>
        <v/>
      </c>
      <c r="BE18" s="316" t="str">
        <f t="shared" si="56"/>
        <v/>
      </c>
      <c r="BF18" s="316" t="str">
        <f t="shared" si="57"/>
        <v/>
      </c>
      <c r="BG18" s="316" t="str">
        <f t="shared" si="58"/>
        <v/>
      </c>
      <c r="BH18" s="317"/>
      <c r="BI18" s="318"/>
      <c r="BJ18" s="319" t="str">
        <f t="shared" si="59"/>
        <v>P</v>
      </c>
      <c r="BK18" s="317"/>
      <c r="BL18" s="316" t="str">
        <f t="shared" si="10"/>
        <v>P</v>
      </c>
      <c r="BM18" s="316" t="str">
        <f t="shared" si="11"/>
        <v/>
      </c>
      <c r="BN18" s="316" t="str">
        <f t="shared" si="12"/>
        <v/>
      </c>
      <c r="BO18" s="316" t="str">
        <f t="shared" si="13"/>
        <v/>
      </c>
      <c r="BP18" s="316" t="str">
        <f t="shared" si="14"/>
        <v/>
      </c>
      <c r="BQ18" s="316" t="str">
        <f t="shared" si="15"/>
        <v/>
      </c>
      <c r="BR18" s="316" t="str">
        <f t="shared" si="16"/>
        <v/>
      </c>
      <c r="BS18" s="316" t="str">
        <f t="shared" si="17"/>
        <v/>
      </c>
      <c r="BT18" s="317"/>
      <c r="BU18" s="316">
        <f t="shared" si="18"/>
        <v>1</v>
      </c>
      <c r="BV18" s="1042"/>
      <c r="BW18" s="316" t="str">
        <f t="shared" si="60"/>
        <v>X</v>
      </c>
      <c r="BX18" s="316"/>
      <c r="BY18" s="316"/>
      <c r="BZ18" s="316"/>
      <c r="CA18" s="316"/>
      <c r="CB18" s="316"/>
      <c r="CC18" s="316"/>
      <c r="CD18" s="316"/>
    </row>
    <row r="19" spans="1:82" s="295" customFormat="1" ht="24" customHeight="1">
      <c r="A19" s="747">
        <v>14</v>
      </c>
      <c r="B19" s="746" t="s">
        <v>1208</v>
      </c>
      <c r="C19" s="746" t="str">
        <f t="shared" si="61"/>
        <v>Santa Fe de Antioquia</v>
      </c>
      <c r="D19" s="746" t="s">
        <v>1209</v>
      </c>
      <c r="E19" s="746">
        <v>1</v>
      </c>
      <c r="F19" s="746">
        <v>4</v>
      </c>
      <c r="G19" s="746" t="s">
        <v>1192</v>
      </c>
      <c r="H19" s="746" t="s">
        <v>377</v>
      </c>
      <c r="I19" s="746">
        <v>15</v>
      </c>
      <c r="J19" s="746">
        <v>10</v>
      </c>
      <c r="K19" s="746">
        <v>20</v>
      </c>
      <c r="L19" s="746" t="s">
        <v>377</v>
      </c>
      <c r="M19" s="746" t="s">
        <v>1193</v>
      </c>
      <c r="N19" s="746">
        <v>40</v>
      </c>
      <c r="O19" s="293"/>
      <c r="P19" s="315" t="str">
        <f t="shared" si="19"/>
        <v>X</v>
      </c>
      <c r="Q19" s="316" t="str">
        <f t="shared" si="20"/>
        <v/>
      </c>
      <c r="R19" s="316" t="str">
        <f t="shared" si="21"/>
        <v/>
      </c>
      <c r="S19" s="316" t="str">
        <f t="shared" si="22"/>
        <v/>
      </c>
      <c r="T19" s="316" t="str">
        <f t="shared" si="23"/>
        <v/>
      </c>
      <c r="U19" s="316" t="str">
        <f t="shared" si="24"/>
        <v/>
      </c>
      <c r="V19" s="316" t="str">
        <f t="shared" si="25"/>
        <v/>
      </c>
      <c r="W19" s="316" t="str">
        <f t="shared" si="26"/>
        <v/>
      </c>
      <c r="X19" s="317"/>
      <c r="Y19" s="316">
        <f t="shared" si="27"/>
        <v>15</v>
      </c>
      <c r="Z19" s="316" t="str">
        <f t="shared" si="28"/>
        <v/>
      </c>
      <c r="AA19" s="316" t="str">
        <f t="shared" si="29"/>
        <v/>
      </c>
      <c r="AB19" s="316" t="str">
        <f t="shared" si="30"/>
        <v/>
      </c>
      <c r="AC19" s="316" t="str">
        <f t="shared" si="31"/>
        <v/>
      </c>
      <c r="AD19" s="316" t="str">
        <f t="shared" si="32"/>
        <v/>
      </c>
      <c r="AE19" s="316" t="str">
        <f t="shared" si="33"/>
        <v/>
      </c>
      <c r="AF19" s="316" t="str">
        <f t="shared" si="34"/>
        <v/>
      </c>
      <c r="AG19" s="317"/>
      <c r="AH19" s="316">
        <f t="shared" si="35"/>
        <v>10</v>
      </c>
      <c r="AI19" s="316" t="str">
        <f t="shared" si="36"/>
        <v/>
      </c>
      <c r="AJ19" s="316" t="str">
        <f t="shared" si="37"/>
        <v/>
      </c>
      <c r="AK19" s="316" t="str">
        <f t="shared" si="38"/>
        <v/>
      </c>
      <c r="AL19" s="316" t="str">
        <f t="shared" si="39"/>
        <v/>
      </c>
      <c r="AM19" s="316" t="str">
        <f t="shared" si="40"/>
        <v/>
      </c>
      <c r="AN19" s="316" t="str">
        <f t="shared" si="41"/>
        <v/>
      </c>
      <c r="AO19" s="316" t="str">
        <f t="shared" si="42"/>
        <v/>
      </c>
      <c r="AP19" s="317"/>
      <c r="AQ19" s="316" t="str">
        <f t="shared" si="43"/>
        <v/>
      </c>
      <c r="AR19" s="316" t="str">
        <f t="shared" si="44"/>
        <v/>
      </c>
      <c r="AS19" s="316" t="str">
        <f t="shared" si="45"/>
        <v/>
      </c>
      <c r="AT19" s="316" t="str">
        <f t="shared" si="46"/>
        <v/>
      </c>
      <c r="AU19" s="316" t="str">
        <f t="shared" si="47"/>
        <v/>
      </c>
      <c r="AV19" s="316" t="str">
        <f t="shared" si="48"/>
        <v/>
      </c>
      <c r="AW19" s="316" t="str">
        <f t="shared" si="49"/>
        <v/>
      </c>
      <c r="AX19" s="316" t="str">
        <f t="shared" si="50"/>
        <v/>
      </c>
      <c r="AY19" s="317"/>
      <c r="AZ19" s="316">
        <f t="shared" si="51"/>
        <v>20</v>
      </c>
      <c r="BA19" s="316" t="str">
        <f t="shared" si="52"/>
        <v/>
      </c>
      <c r="BB19" s="316" t="str">
        <f t="shared" si="53"/>
        <v/>
      </c>
      <c r="BC19" s="316" t="str">
        <f t="shared" si="54"/>
        <v/>
      </c>
      <c r="BD19" s="316" t="str">
        <f t="shared" si="55"/>
        <v/>
      </c>
      <c r="BE19" s="316" t="str">
        <f t="shared" si="56"/>
        <v/>
      </c>
      <c r="BF19" s="316" t="str">
        <f t="shared" si="57"/>
        <v/>
      </c>
      <c r="BG19" s="316" t="str">
        <f t="shared" si="58"/>
        <v/>
      </c>
      <c r="BH19" s="317"/>
      <c r="BI19" s="318"/>
      <c r="BJ19" s="319" t="str">
        <f t="shared" si="59"/>
        <v>P</v>
      </c>
      <c r="BK19" s="317"/>
      <c r="BL19" s="316" t="str">
        <f t="shared" si="10"/>
        <v>P</v>
      </c>
      <c r="BM19" s="316" t="str">
        <f t="shared" si="11"/>
        <v/>
      </c>
      <c r="BN19" s="316" t="str">
        <f t="shared" si="12"/>
        <v/>
      </c>
      <c r="BO19" s="316" t="str">
        <f t="shared" si="13"/>
        <v/>
      </c>
      <c r="BP19" s="316" t="str">
        <f t="shared" si="14"/>
        <v/>
      </c>
      <c r="BQ19" s="316" t="str">
        <f t="shared" si="15"/>
        <v/>
      </c>
      <c r="BR19" s="316" t="str">
        <f t="shared" si="16"/>
        <v/>
      </c>
      <c r="BS19" s="316" t="str">
        <f t="shared" si="17"/>
        <v/>
      </c>
      <c r="BT19" s="317"/>
      <c r="BU19" s="316">
        <f t="shared" si="18"/>
        <v>1</v>
      </c>
      <c r="BV19" s="1042"/>
      <c r="BW19" s="316" t="str">
        <f t="shared" si="60"/>
        <v>X</v>
      </c>
      <c r="BX19" s="316"/>
      <c r="BY19" s="316"/>
      <c r="BZ19" s="316"/>
      <c r="CA19" s="316"/>
      <c r="CB19" s="316"/>
      <c r="CC19" s="316"/>
      <c r="CD19" s="316"/>
    </row>
    <row r="20" spans="1:82" s="295" customFormat="1" ht="24" customHeight="1">
      <c r="A20" s="747">
        <v>15</v>
      </c>
      <c r="B20" s="746" t="s">
        <v>1210</v>
      </c>
      <c r="C20" s="746" t="str">
        <f t="shared" si="61"/>
        <v>Santa Fe de Antioquia</v>
      </c>
      <c r="D20" s="746" t="s">
        <v>1209</v>
      </c>
      <c r="E20" s="746">
        <v>1</v>
      </c>
      <c r="F20" s="746">
        <v>4</v>
      </c>
      <c r="G20" s="746" t="s">
        <v>1192</v>
      </c>
      <c r="H20" s="746" t="s">
        <v>377</v>
      </c>
      <c r="I20" s="746">
        <v>11</v>
      </c>
      <c r="J20" s="746">
        <v>10</v>
      </c>
      <c r="K20" s="746">
        <v>30</v>
      </c>
      <c r="L20" s="746" t="s">
        <v>377</v>
      </c>
      <c r="M20" s="746" t="s">
        <v>1193</v>
      </c>
      <c r="N20" s="746">
        <v>32</v>
      </c>
      <c r="O20" s="293"/>
      <c r="P20" s="315" t="str">
        <f t="shared" si="19"/>
        <v>X</v>
      </c>
      <c r="Q20" s="316" t="str">
        <f t="shared" si="20"/>
        <v/>
      </c>
      <c r="R20" s="316" t="str">
        <f t="shared" si="21"/>
        <v/>
      </c>
      <c r="S20" s="316" t="str">
        <f t="shared" si="22"/>
        <v/>
      </c>
      <c r="T20" s="316" t="str">
        <f t="shared" si="23"/>
        <v/>
      </c>
      <c r="U20" s="316" t="str">
        <f t="shared" si="24"/>
        <v/>
      </c>
      <c r="V20" s="316" t="str">
        <f t="shared" si="25"/>
        <v/>
      </c>
      <c r="W20" s="316" t="str">
        <f t="shared" si="26"/>
        <v/>
      </c>
      <c r="X20" s="317"/>
      <c r="Y20" s="316">
        <f t="shared" si="27"/>
        <v>11</v>
      </c>
      <c r="Z20" s="316" t="str">
        <f t="shared" si="28"/>
        <v/>
      </c>
      <c r="AA20" s="316" t="str">
        <f t="shared" si="29"/>
        <v/>
      </c>
      <c r="AB20" s="316" t="str">
        <f t="shared" si="30"/>
        <v/>
      </c>
      <c r="AC20" s="316" t="str">
        <f t="shared" si="31"/>
        <v/>
      </c>
      <c r="AD20" s="316" t="str">
        <f t="shared" si="32"/>
        <v/>
      </c>
      <c r="AE20" s="316" t="str">
        <f t="shared" si="33"/>
        <v/>
      </c>
      <c r="AF20" s="316" t="str">
        <f t="shared" si="34"/>
        <v/>
      </c>
      <c r="AG20" s="317"/>
      <c r="AH20" s="316">
        <f t="shared" si="35"/>
        <v>10</v>
      </c>
      <c r="AI20" s="316" t="str">
        <f t="shared" si="36"/>
        <v/>
      </c>
      <c r="AJ20" s="316" t="str">
        <f t="shared" si="37"/>
        <v/>
      </c>
      <c r="AK20" s="316" t="str">
        <f t="shared" si="38"/>
        <v/>
      </c>
      <c r="AL20" s="316" t="str">
        <f t="shared" si="39"/>
        <v/>
      </c>
      <c r="AM20" s="316" t="str">
        <f t="shared" si="40"/>
        <v/>
      </c>
      <c r="AN20" s="316" t="str">
        <f t="shared" si="41"/>
        <v/>
      </c>
      <c r="AO20" s="316" t="str">
        <f t="shared" si="42"/>
        <v/>
      </c>
      <c r="AP20" s="317"/>
      <c r="AQ20" s="316" t="str">
        <f t="shared" si="43"/>
        <v/>
      </c>
      <c r="AR20" s="316" t="str">
        <f t="shared" si="44"/>
        <v/>
      </c>
      <c r="AS20" s="316" t="str">
        <f t="shared" si="45"/>
        <v/>
      </c>
      <c r="AT20" s="316" t="str">
        <f t="shared" si="46"/>
        <v/>
      </c>
      <c r="AU20" s="316" t="str">
        <f t="shared" si="47"/>
        <v/>
      </c>
      <c r="AV20" s="316" t="str">
        <f t="shared" si="48"/>
        <v/>
      </c>
      <c r="AW20" s="316" t="str">
        <f t="shared" si="49"/>
        <v/>
      </c>
      <c r="AX20" s="316" t="str">
        <f t="shared" si="50"/>
        <v/>
      </c>
      <c r="AY20" s="317"/>
      <c r="AZ20" s="316">
        <f t="shared" si="51"/>
        <v>30</v>
      </c>
      <c r="BA20" s="316" t="str">
        <f t="shared" si="52"/>
        <v/>
      </c>
      <c r="BB20" s="316" t="str">
        <f t="shared" si="53"/>
        <v/>
      </c>
      <c r="BC20" s="316" t="str">
        <f t="shared" si="54"/>
        <v/>
      </c>
      <c r="BD20" s="316" t="str">
        <f t="shared" si="55"/>
        <v/>
      </c>
      <c r="BE20" s="316" t="str">
        <f t="shared" si="56"/>
        <v/>
      </c>
      <c r="BF20" s="316" t="str">
        <f t="shared" si="57"/>
        <v/>
      </c>
      <c r="BG20" s="316" t="str">
        <f t="shared" si="58"/>
        <v/>
      </c>
      <c r="BH20" s="317"/>
      <c r="BI20" s="318"/>
      <c r="BJ20" s="319" t="str">
        <f t="shared" si="59"/>
        <v>P</v>
      </c>
      <c r="BK20" s="317"/>
      <c r="BL20" s="316" t="str">
        <f t="shared" si="10"/>
        <v>P</v>
      </c>
      <c r="BM20" s="316" t="str">
        <f t="shared" si="11"/>
        <v/>
      </c>
      <c r="BN20" s="316" t="str">
        <f t="shared" si="12"/>
        <v/>
      </c>
      <c r="BO20" s="316" t="str">
        <f t="shared" si="13"/>
        <v/>
      </c>
      <c r="BP20" s="316" t="str">
        <f t="shared" si="14"/>
        <v/>
      </c>
      <c r="BQ20" s="316" t="str">
        <f t="shared" si="15"/>
        <v/>
      </c>
      <c r="BR20" s="316" t="str">
        <f t="shared" si="16"/>
        <v/>
      </c>
      <c r="BS20" s="316" t="str">
        <f t="shared" si="17"/>
        <v/>
      </c>
      <c r="BT20" s="317"/>
      <c r="BU20" s="316">
        <f t="shared" si="18"/>
        <v>1</v>
      </c>
      <c r="BV20" s="1042"/>
      <c r="BW20" s="316" t="str">
        <f t="shared" si="60"/>
        <v>X</v>
      </c>
      <c r="BX20" s="316"/>
      <c r="BY20" s="316"/>
      <c r="BZ20" s="316"/>
      <c r="CA20" s="316"/>
      <c r="CB20" s="316"/>
      <c r="CC20" s="316"/>
      <c r="CD20" s="316"/>
    </row>
    <row r="21" spans="1:82" s="295" customFormat="1" ht="24" customHeight="1">
      <c r="A21" s="747">
        <v>16</v>
      </c>
      <c r="B21" s="746" t="s">
        <v>1211</v>
      </c>
      <c r="C21" s="746" t="str">
        <f t="shared" si="61"/>
        <v>Santa Fe de Antioquia</v>
      </c>
      <c r="D21" s="746" t="s">
        <v>1209</v>
      </c>
      <c r="E21" s="746">
        <v>1</v>
      </c>
      <c r="F21" s="746">
        <v>5</v>
      </c>
      <c r="G21" s="746" t="s">
        <v>1192</v>
      </c>
      <c r="H21" s="746" t="s">
        <v>377</v>
      </c>
      <c r="I21" s="746">
        <v>15</v>
      </c>
      <c r="J21" s="746">
        <v>15</v>
      </c>
      <c r="K21" s="746">
        <v>30</v>
      </c>
      <c r="L21" s="746" t="s">
        <v>377</v>
      </c>
      <c r="M21" s="746" t="s">
        <v>1193</v>
      </c>
      <c r="N21" s="746">
        <v>32</v>
      </c>
      <c r="O21" s="293"/>
      <c r="P21" s="315" t="str">
        <f t="shared" si="19"/>
        <v>X</v>
      </c>
      <c r="Q21" s="316" t="str">
        <f t="shared" si="20"/>
        <v/>
      </c>
      <c r="R21" s="316" t="str">
        <f t="shared" si="21"/>
        <v/>
      </c>
      <c r="S21" s="316" t="str">
        <f t="shared" si="22"/>
        <v/>
      </c>
      <c r="T21" s="316" t="str">
        <f t="shared" si="23"/>
        <v/>
      </c>
      <c r="U21" s="316" t="str">
        <f t="shared" si="24"/>
        <v/>
      </c>
      <c r="V21" s="316" t="str">
        <f t="shared" si="25"/>
        <v/>
      </c>
      <c r="W21" s="316" t="str">
        <f t="shared" si="26"/>
        <v/>
      </c>
      <c r="X21" s="317"/>
      <c r="Y21" s="316">
        <f t="shared" si="27"/>
        <v>15</v>
      </c>
      <c r="Z21" s="316" t="str">
        <f t="shared" si="28"/>
        <v/>
      </c>
      <c r="AA21" s="316" t="str">
        <f t="shared" si="29"/>
        <v/>
      </c>
      <c r="AB21" s="316" t="str">
        <f t="shared" si="30"/>
        <v/>
      </c>
      <c r="AC21" s="316" t="str">
        <f t="shared" si="31"/>
        <v/>
      </c>
      <c r="AD21" s="316" t="str">
        <f t="shared" si="32"/>
        <v/>
      </c>
      <c r="AE21" s="316" t="str">
        <f t="shared" si="33"/>
        <v/>
      </c>
      <c r="AF21" s="316" t="str">
        <f t="shared" si="34"/>
        <v/>
      </c>
      <c r="AG21" s="317"/>
      <c r="AH21" s="316">
        <f t="shared" si="35"/>
        <v>15</v>
      </c>
      <c r="AI21" s="316" t="str">
        <f t="shared" si="36"/>
        <v/>
      </c>
      <c r="AJ21" s="316" t="str">
        <f t="shared" si="37"/>
        <v/>
      </c>
      <c r="AK21" s="316" t="str">
        <f t="shared" si="38"/>
        <v/>
      </c>
      <c r="AL21" s="316" t="str">
        <f t="shared" si="39"/>
        <v/>
      </c>
      <c r="AM21" s="316" t="str">
        <f t="shared" si="40"/>
        <v/>
      </c>
      <c r="AN21" s="316" t="str">
        <f t="shared" si="41"/>
        <v/>
      </c>
      <c r="AO21" s="316" t="str">
        <f t="shared" si="42"/>
        <v/>
      </c>
      <c r="AP21" s="317"/>
      <c r="AQ21" s="316" t="str">
        <f t="shared" si="43"/>
        <v/>
      </c>
      <c r="AR21" s="316" t="str">
        <f t="shared" si="44"/>
        <v/>
      </c>
      <c r="AS21" s="316" t="str">
        <f t="shared" si="45"/>
        <v/>
      </c>
      <c r="AT21" s="316" t="str">
        <f t="shared" si="46"/>
        <v/>
      </c>
      <c r="AU21" s="316" t="str">
        <f t="shared" si="47"/>
        <v/>
      </c>
      <c r="AV21" s="316" t="str">
        <f t="shared" si="48"/>
        <v/>
      </c>
      <c r="AW21" s="316" t="str">
        <f t="shared" si="49"/>
        <v/>
      </c>
      <c r="AX21" s="316" t="str">
        <f t="shared" si="50"/>
        <v/>
      </c>
      <c r="AY21" s="317"/>
      <c r="AZ21" s="316">
        <f t="shared" si="51"/>
        <v>30</v>
      </c>
      <c r="BA21" s="316" t="str">
        <f t="shared" si="52"/>
        <v/>
      </c>
      <c r="BB21" s="316" t="str">
        <f t="shared" si="53"/>
        <v/>
      </c>
      <c r="BC21" s="316" t="str">
        <f t="shared" si="54"/>
        <v/>
      </c>
      <c r="BD21" s="316" t="str">
        <f t="shared" si="55"/>
        <v/>
      </c>
      <c r="BE21" s="316" t="str">
        <f t="shared" si="56"/>
        <v/>
      </c>
      <c r="BF21" s="316" t="str">
        <f t="shared" si="57"/>
        <v/>
      </c>
      <c r="BG21" s="316" t="str">
        <f t="shared" si="58"/>
        <v/>
      </c>
      <c r="BH21" s="317"/>
      <c r="BI21" s="318"/>
      <c r="BJ21" s="319" t="str">
        <f t="shared" si="59"/>
        <v>P</v>
      </c>
      <c r="BK21" s="317"/>
      <c r="BL21" s="316" t="str">
        <f t="shared" si="10"/>
        <v>P</v>
      </c>
      <c r="BM21" s="316" t="str">
        <f t="shared" si="11"/>
        <v/>
      </c>
      <c r="BN21" s="316" t="str">
        <f t="shared" si="12"/>
        <v/>
      </c>
      <c r="BO21" s="316" t="str">
        <f t="shared" si="13"/>
        <v/>
      </c>
      <c r="BP21" s="316" t="str">
        <f t="shared" si="14"/>
        <v/>
      </c>
      <c r="BQ21" s="316" t="str">
        <f t="shared" si="15"/>
        <v/>
      </c>
      <c r="BR21" s="316" t="str">
        <f t="shared" si="16"/>
        <v/>
      </c>
      <c r="BS21" s="316" t="str">
        <f t="shared" si="17"/>
        <v/>
      </c>
      <c r="BT21" s="317"/>
      <c r="BU21" s="316">
        <f t="shared" si="18"/>
        <v>1</v>
      </c>
      <c r="BV21" s="1042"/>
      <c r="BW21" s="316" t="str">
        <f t="shared" si="60"/>
        <v>X</v>
      </c>
      <c r="BX21" s="316"/>
      <c r="BY21" s="316"/>
      <c r="BZ21" s="316"/>
      <c r="CA21" s="316"/>
      <c r="CB21" s="316"/>
      <c r="CC21" s="316"/>
      <c r="CD21" s="316"/>
    </row>
    <row r="22" spans="1:82" s="295" customFormat="1" ht="24" customHeight="1">
      <c r="A22" s="747">
        <v>17</v>
      </c>
      <c r="B22" s="746" t="s">
        <v>1212</v>
      </c>
      <c r="C22" s="746" t="str">
        <f t="shared" si="61"/>
        <v>Santa Fe de Antioquia</v>
      </c>
      <c r="D22" s="746" t="s">
        <v>1209</v>
      </c>
      <c r="E22" s="746">
        <v>1</v>
      </c>
      <c r="F22" s="746">
        <v>50</v>
      </c>
      <c r="G22" s="746" t="s">
        <v>1192</v>
      </c>
      <c r="H22" s="746" t="s">
        <v>377</v>
      </c>
      <c r="I22" s="746">
        <v>50</v>
      </c>
      <c r="J22" s="746">
        <v>20</v>
      </c>
      <c r="K22" s="746">
        <v>30</v>
      </c>
      <c r="L22" s="746" t="s">
        <v>377</v>
      </c>
      <c r="M22" s="746" t="s">
        <v>1193</v>
      </c>
      <c r="N22" s="746">
        <v>34</v>
      </c>
      <c r="O22" s="293"/>
      <c r="P22" s="315" t="str">
        <f t="shared" si="19"/>
        <v/>
      </c>
      <c r="Q22" s="316" t="str">
        <f t="shared" si="20"/>
        <v/>
      </c>
      <c r="R22" s="316" t="str">
        <f t="shared" si="21"/>
        <v/>
      </c>
      <c r="S22" s="316" t="str">
        <f t="shared" si="22"/>
        <v/>
      </c>
      <c r="T22" s="316" t="str">
        <f t="shared" si="23"/>
        <v/>
      </c>
      <c r="U22" s="316" t="str">
        <f t="shared" si="24"/>
        <v>X</v>
      </c>
      <c r="V22" s="316" t="str">
        <f t="shared" si="25"/>
        <v/>
      </c>
      <c r="W22" s="316" t="str">
        <f t="shared" si="26"/>
        <v/>
      </c>
      <c r="X22" s="317"/>
      <c r="Y22" s="316" t="str">
        <f t="shared" si="27"/>
        <v/>
      </c>
      <c r="Z22" s="316" t="str">
        <f t="shared" si="28"/>
        <v/>
      </c>
      <c r="AA22" s="316" t="str">
        <f t="shared" si="29"/>
        <v/>
      </c>
      <c r="AB22" s="316" t="str">
        <f t="shared" si="30"/>
        <v/>
      </c>
      <c r="AC22" s="316" t="str">
        <f t="shared" si="31"/>
        <v/>
      </c>
      <c r="AD22" s="316">
        <f t="shared" si="32"/>
        <v>50</v>
      </c>
      <c r="AE22" s="316" t="str">
        <f t="shared" si="33"/>
        <v/>
      </c>
      <c r="AF22" s="316" t="str">
        <f t="shared" si="34"/>
        <v/>
      </c>
      <c r="AG22" s="317"/>
      <c r="AH22" s="316" t="str">
        <f t="shared" si="35"/>
        <v/>
      </c>
      <c r="AI22" s="316" t="str">
        <f t="shared" si="36"/>
        <v/>
      </c>
      <c r="AJ22" s="316" t="str">
        <f t="shared" si="37"/>
        <v/>
      </c>
      <c r="AK22" s="316" t="str">
        <f t="shared" si="38"/>
        <v/>
      </c>
      <c r="AL22" s="316" t="str">
        <f t="shared" si="39"/>
        <v/>
      </c>
      <c r="AM22" s="316">
        <f t="shared" si="40"/>
        <v>20</v>
      </c>
      <c r="AN22" s="316" t="str">
        <f t="shared" si="41"/>
        <v/>
      </c>
      <c r="AO22" s="316" t="str">
        <f t="shared" si="42"/>
        <v/>
      </c>
      <c r="AP22" s="317"/>
      <c r="AQ22" s="316" t="str">
        <f t="shared" si="43"/>
        <v/>
      </c>
      <c r="AR22" s="316" t="str">
        <f t="shared" si="44"/>
        <v/>
      </c>
      <c r="AS22" s="316" t="str">
        <f t="shared" si="45"/>
        <v/>
      </c>
      <c r="AT22" s="316" t="str">
        <f t="shared" si="46"/>
        <v/>
      </c>
      <c r="AU22" s="316" t="str">
        <f t="shared" si="47"/>
        <v/>
      </c>
      <c r="AV22" s="316" t="str">
        <f t="shared" si="48"/>
        <v/>
      </c>
      <c r="AW22" s="316" t="str">
        <f t="shared" si="49"/>
        <v/>
      </c>
      <c r="AX22" s="316" t="str">
        <f t="shared" si="50"/>
        <v/>
      </c>
      <c r="AY22" s="317"/>
      <c r="AZ22" s="316" t="str">
        <f t="shared" si="51"/>
        <v/>
      </c>
      <c r="BA22" s="316" t="str">
        <f t="shared" si="52"/>
        <v/>
      </c>
      <c r="BB22" s="316" t="str">
        <f t="shared" si="53"/>
        <v/>
      </c>
      <c r="BC22" s="316" t="str">
        <f t="shared" si="54"/>
        <v/>
      </c>
      <c r="BD22" s="316" t="str">
        <f t="shared" si="55"/>
        <v/>
      </c>
      <c r="BE22" s="316">
        <f t="shared" si="56"/>
        <v>30</v>
      </c>
      <c r="BF22" s="316" t="str">
        <f t="shared" si="57"/>
        <v/>
      </c>
      <c r="BG22" s="316" t="str">
        <f t="shared" si="58"/>
        <v/>
      </c>
      <c r="BH22" s="317"/>
      <c r="BI22" s="318"/>
      <c r="BJ22" s="319" t="str">
        <f t="shared" si="59"/>
        <v>P</v>
      </c>
      <c r="BK22" s="317"/>
      <c r="BL22" s="316" t="str">
        <f t="shared" si="10"/>
        <v/>
      </c>
      <c r="BM22" s="316" t="str">
        <f t="shared" si="11"/>
        <v/>
      </c>
      <c r="BN22" s="316" t="str">
        <f t="shared" si="12"/>
        <v/>
      </c>
      <c r="BO22" s="316" t="str">
        <f t="shared" si="13"/>
        <v/>
      </c>
      <c r="BP22" s="316" t="str">
        <f t="shared" si="14"/>
        <v/>
      </c>
      <c r="BQ22" s="316" t="str">
        <f t="shared" si="15"/>
        <v>P</v>
      </c>
      <c r="BR22" s="316" t="str">
        <f t="shared" si="16"/>
        <v/>
      </c>
      <c r="BS22" s="316" t="str">
        <f t="shared" si="17"/>
        <v/>
      </c>
      <c r="BT22" s="317"/>
      <c r="BU22" s="316">
        <v>0</v>
      </c>
      <c r="BV22" s="1042"/>
      <c r="BW22" s="316" t="str">
        <f>IF(H22="SI",IF(F22&lt;=9,"X",""),"")</f>
        <v/>
      </c>
      <c r="BX22" s="316"/>
      <c r="BY22" s="316"/>
      <c r="BZ22" s="316"/>
      <c r="CA22" s="316"/>
      <c r="CB22" s="316" t="s">
        <v>1228</v>
      </c>
      <c r="CC22" s="316"/>
      <c r="CD22" s="316"/>
    </row>
    <row r="23" spans="1:82" s="295" customFormat="1" ht="24" customHeight="1">
      <c r="A23" s="747">
        <v>18</v>
      </c>
      <c r="B23" s="746" t="s">
        <v>1213</v>
      </c>
      <c r="C23" s="746" t="str">
        <f t="shared" si="61"/>
        <v>Santa Fe de Antioquia</v>
      </c>
      <c r="D23" s="746" t="s">
        <v>1209</v>
      </c>
      <c r="E23" s="746">
        <v>1</v>
      </c>
      <c r="F23" s="746">
        <v>4</v>
      </c>
      <c r="G23" s="746" t="s">
        <v>1192</v>
      </c>
      <c r="H23" s="746" t="s">
        <v>377</v>
      </c>
      <c r="I23" s="746">
        <v>15</v>
      </c>
      <c r="J23" s="746">
        <v>10</v>
      </c>
      <c r="K23" s="746">
        <v>20</v>
      </c>
      <c r="L23" s="746" t="s">
        <v>377</v>
      </c>
      <c r="M23" s="746" t="s">
        <v>1193</v>
      </c>
      <c r="N23" s="746">
        <v>28</v>
      </c>
      <c r="O23" s="293"/>
      <c r="P23" s="315" t="str">
        <f t="shared" si="19"/>
        <v>X</v>
      </c>
      <c r="Q23" s="316" t="str">
        <f t="shared" si="20"/>
        <v/>
      </c>
      <c r="R23" s="316" t="str">
        <f t="shared" si="21"/>
        <v/>
      </c>
      <c r="S23" s="316" t="str">
        <f t="shared" si="22"/>
        <v/>
      </c>
      <c r="T23" s="316" t="str">
        <f t="shared" si="23"/>
        <v/>
      </c>
      <c r="U23" s="316" t="str">
        <f t="shared" si="24"/>
        <v/>
      </c>
      <c r="V23" s="316" t="str">
        <f t="shared" si="25"/>
        <v/>
      </c>
      <c r="W23" s="316" t="str">
        <f t="shared" si="26"/>
        <v/>
      </c>
      <c r="X23" s="317"/>
      <c r="Y23" s="316">
        <f t="shared" si="27"/>
        <v>15</v>
      </c>
      <c r="Z23" s="316" t="str">
        <f t="shared" si="28"/>
        <v/>
      </c>
      <c r="AA23" s="316" t="str">
        <f t="shared" si="29"/>
        <v/>
      </c>
      <c r="AB23" s="316" t="str">
        <f t="shared" si="30"/>
        <v/>
      </c>
      <c r="AC23" s="316" t="str">
        <f t="shared" si="31"/>
        <v/>
      </c>
      <c r="AD23" s="316" t="str">
        <f t="shared" si="32"/>
        <v/>
      </c>
      <c r="AE23" s="316" t="str">
        <f t="shared" si="33"/>
        <v/>
      </c>
      <c r="AF23" s="316" t="str">
        <f t="shared" si="34"/>
        <v/>
      </c>
      <c r="AG23" s="317"/>
      <c r="AH23" s="316">
        <f t="shared" si="35"/>
        <v>10</v>
      </c>
      <c r="AI23" s="316" t="str">
        <f t="shared" si="36"/>
        <v/>
      </c>
      <c r="AJ23" s="316" t="str">
        <f t="shared" si="37"/>
        <v/>
      </c>
      <c r="AK23" s="316" t="str">
        <f t="shared" si="38"/>
        <v/>
      </c>
      <c r="AL23" s="316" t="str">
        <f t="shared" si="39"/>
        <v/>
      </c>
      <c r="AM23" s="316" t="str">
        <f t="shared" si="40"/>
        <v/>
      </c>
      <c r="AN23" s="316" t="str">
        <f t="shared" si="41"/>
        <v/>
      </c>
      <c r="AO23" s="316" t="str">
        <f t="shared" si="42"/>
        <v/>
      </c>
      <c r="AP23" s="317"/>
      <c r="AQ23" s="316" t="str">
        <f t="shared" si="43"/>
        <v/>
      </c>
      <c r="AR23" s="316" t="str">
        <f t="shared" si="44"/>
        <v/>
      </c>
      <c r="AS23" s="316" t="str">
        <f t="shared" si="45"/>
        <v/>
      </c>
      <c r="AT23" s="316" t="str">
        <f t="shared" si="46"/>
        <v/>
      </c>
      <c r="AU23" s="316" t="str">
        <f t="shared" si="47"/>
        <v/>
      </c>
      <c r="AV23" s="316" t="str">
        <f t="shared" si="48"/>
        <v/>
      </c>
      <c r="AW23" s="316" t="str">
        <f t="shared" si="49"/>
        <v/>
      </c>
      <c r="AX23" s="316" t="str">
        <f t="shared" si="50"/>
        <v/>
      </c>
      <c r="AY23" s="317"/>
      <c r="AZ23" s="316">
        <f t="shared" si="51"/>
        <v>20</v>
      </c>
      <c r="BA23" s="316" t="str">
        <f t="shared" si="52"/>
        <v/>
      </c>
      <c r="BB23" s="316" t="str">
        <f t="shared" si="53"/>
        <v/>
      </c>
      <c r="BC23" s="316" t="str">
        <f t="shared" si="54"/>
        <v/>
      </c>
      <c r="BD23" s="316" t="str">
        <f t="shared" si="55"/>
        <v/>
      </c>
      <c r="BE23" s="316" t="str">
        <f t="shared" si="56"/>
        <v/>
      </c>
      <c r="BF23" s="316" t="str">
        <f t="shared" si="57"/>
        <v/>
      </c>
      <c r="BG23" s="316" t="str">
        <f t="shared" si="58"/>
        <v/>
      </c>
      <c r="BH23" s="317"/>
      <c r="BI23" s="318"/>
      <c r="BJ23" s="319" t="str">
        <f t="shared" si="59"/>
        <v>P</v>
      </c>
      <c r="BK23" s="317"/>
      <c r="BL23" s="316" t="str">
        <f t="shared" si="10"/>
        <v>P</v>
      </c>
      <c r="BM23" s="316" t="str">
        <f t="shared" si="11"/>
        <v/>
      </c>
      <c r="BN23" s="316" t="str">
        <f t="shared" si="12"/>
        <v/>
      </c>
      <c r="BO23" s="316" t="str">
        <f t="shared" si="13"/>
        <v/>
      </c>
      <c r="BP23" s="316" t="str">
        <f t="shared" si="14"/>
        <v/>
      </c>
      <c r="BQ23" s="316" t="str">
        <f t="shared" si="15"/>
        <v/>
      </c>
      <c r="BR23" s="316" t="str">
        <f t="shared" si="16"/>
        <v/>
      </c>
      <c r="BS23" s="316" t="str">
        <f t="shared" si="17"/>
        <v/>
      </c>
      <c r="BT23" s="317"/>
      <c r="BU23" s="316">
        <f t="shared" si="18"/>
        <v>1</v>
      </c>
      <c r="BV23" s="1042"/>
      <c r="BW23" s="316" t="str">
        <f t="shared" si="60"/>
        <v>X</v>
      </c>
      <c r="BX23" s="316"/>
      <c r="BY23" s="316"/>
      <c r="BZ23" s="316"/>
      <c r="CA23" s="316"/>
      <c r="CB23" s="316"/>
      <c r="CC23" s="316"/>
      <c r="CD23" s="316"/>
    </row>
    <row r="24" spans="1:82" s="295" customFormat="1" ht="24" customHeight="1">
      <c r="A24" s="747">
        <v>19</v>
      </c>
      <c r="B24" s="746" t="s">
        <v>1214</v>
      </c>
      <c r="C24" s="746" t="str">
        <f t="shared" si="61"/>
        <v>Santa Fe de Antioquia</v>
      </c>
      <c r="D24" s="746" t="s">
        <v>1209</v>
      </c>
      <c r="E24" s="746">
        <v>1</v>
      </c>
      <c r="F24" s="746">
        <v>3</v>
      </c>
      <c r="G24" s="746" t="s">
        <v>1192</v>
      </c>
      <c r="H24" s="746" t="s">
        <v>377</v>
      </c>
      <c r="I24" s="746">
        <v>10</v>
      </c>
      <c r="J24" s="746">
        <v>10</v>
      </c>
      <c r="K24" s="746">
        <v>15</v>
      </c>
      <c r="L24" s="746" t="s">
        <v>377</v>
      </c>
      <c r="M24" s="746" t="s">
        <v>1193</v>
      </c>
      <c r="N24" s="746">
        <v>28</v>
      </c>
      <c r="O24" s="293"/>
      <c r="P24" s="315" t="str">
        <f t="shared" si="19"/>
        <v>X</v>
      </c>
      <c r="Q24" s="316" t="str">
        <f t="shared" si="20"/>
        <v/>
      </c>
      <c r="R24" s="316" t="str">
        <f t="shared" si="21"/>
        <v/>
      </c>
      <c r="S24" s="316" t="str">
        <f t="shared" si="22"/>
        <v/>
      </c>
      <c r="T24" s="316" t="str">
        <f t="shared" si="23"/>
        <v/>
      </c>
      <c r="U24" s="316" t="str">
        <f t="shared" si="24"/>
        <v/>
      </c>
      <c r="V24" s="316" t="str">
        <f t="shared" si="25"/>
        <v/>
      </c>
      <c r="W24" s="316" t="str">
        <f t="shared" si="26"/>
        <v/>
      </c>
      <c r="X24" s="317"/>
      <c r="Y24" s="316">
        <f t="shared" si="27"/>
        <v>10</v>
      </c>
      <c r="Z24" s="316" t="str">
        <f t="shared" si="28"/>
        <v/>
      </c>
      <c r="AA24" s="316" t="str">
        <f t="shared" si="29"/>
        <v/>
      </c>
      <c r="AB24" s="316" t="str">
        <f t="shared" si="30"/>
        <v/>
      </c>
      <c r="AC24" s="316" t="str">
        <f t="shared" si="31"/>
        <v/>
      </c>
      <c r="AD24" s="316" t="str">
        <f t="shared" si="32"/>
        <v/>
      </c>
      <c r="AE24" s="316" t="str">
        <f t="shared" si="33"/>
        <v/>
      </c>
      <c r="AF24" s="316" t="str">
        <f t="shared" si="34"/>
        <v/>
      </c>
      <c r="AG24" s="317"/>
      <c r="AH24" s="316">
        <f t="shared" si="35"/>
        <v>10</v>
      </c>
      <c r="AI24" s="316" t="str">
        <f t="shared" si="36"/>
        <v/>
      </c>
      <c r="AJ24" s="316" t="str">
        <f t="shared" si="37"/>
        <v/>
      </c>
      <c r="AK24" s="316" t="str">
        <f t="shared" si="38"/>
        <v/>
      </c>
      <c r="AL24" s="316" t="str">
        <f t="shared" si="39"/>
        <v/>
      </c>
      <c r="AM24" s="316" t="str">
        <f t="shared" si="40"/>
        <v/>
      </c>
      <c r="AN24" s="316" t="str">
        <f t="shared" si="41"/>
        <v/>
      </c>
      <c r="AO24" s="316" t="str">
        <f t="shared" si="42"/>
        <v/>
      </c>
      <c r="AP24" s="317"/>
      <c r="AQ24" s="316" t="str">
        <f t="shared" si="43"/>
        <v/>
      </c>
      <c r="AR24" s="316" t="str">
        <f t="shared" si="44"/>
        <v/>
      </c>
      <c r="AS24" s="316" t="str">
        <f t="shared" si="45"/>
        <v/>
      </c>
      <c r="AT24" s="316" t="str">
        <f t="shared" si="46"/>
        <v/>
      </c>
      <c r="AU24" s="316" t="str">
        <f t="shared" si="47"/>
        <v/>
      </c>
      <c r="AV24" s="316" t="str">
        <f t="shared" si="48"/>
        <v/>
      </c>
      <c r="AW24" s="316" t="str">
        <f t="shared" si="49"/>
        <v/>
      </c>
      <c r="AX24" s="316" t="str">
        <f t="shared" si="50"/>
        <v/>
      </c>
      <c r="AY24" s="317"/>
      <c r="AZ24" s="316">
        <f t="shared" si="51"/>
        <v>15</v>
      </c>
      <c r="BA24" s="316" t="str">
        <f t="shared" si="52"/>
        <v/>
      </c>
      <c r="BB24" s="316" t="str">
        <f t="shared" si="53"/>
        <v/>
      </c>
      <c r="BC24" s="316" t="str">
        <f t="shared" si="54"/>
        <v/>
      </c>
      <c r="BD24" s="316" t="str">
        <f t="shared" si="55"/>
        <v/>
      </c>
      <c r="BE24" s="316" t="str">
        <f t="shared" si="56"/>
        <v/>
      </c>
      <c r="BF24" s="316" t="str">
        <f t="shared" si="57"/>
        <v/>
      </c>
      <c r="BG24" s="316" t="str">
        <f t="shared" si="58"/>
        <v/>
      </c>
      <c r="BH24" s="317"/>
      <c r="BI24" s="318"/>
      <c r="BJ24" s="319" t="str">
        <f t="shared" si="59"/>
        <v>P</v>
      </c>
      <c r="BK24" s="317"/>
      <c r="BL24" s="316" t="str">
        <f t="shared" si="10"/>
        <v>P</v>
      </c>
      <c r="BM24" s="316" t="str">
        <f t="shared" si="11"/>
        <v/>
      </c>
      <c r="BN24" s="316" t="str">
        <f t="shared" si="12"/>
        <v/>
      </c>
      <c r="BO24" s="316" t="str">
        <f t="shared" si="13"/>
        <v/>
      </c>
      <c r="BP24" s="316" t="str">
        <f t="shared" si="14"/>
        <v/>
      </c>
      <c r="BQ24" s="316" t="str">
        <f t="shared" si="15"/>
        <v/>
      </c>
      <c r="BR24" s="316" t="str">
        <f t="shared" si="16"/>
        <v/>
      </c>
      <c r="BS24" s="316" t="str">
        <f t="shared" si="17"/>
        <v/>
      </c>
      <c r="BT24" s="317"/>
      <c r="BU24" s="316">
        <f t="shared" si="18"/>
        <v>1</v>
      </c>
      <c r="BV24" s="1042"/>
      <c r="BW24" s="316" t="str">
        <f t="shared" si="60"/>
        <v>X</v>
      </c>
      <c r="BX24" s="316"/>
      <c r="BY24" s="316"/>
      <c r="BZ24" s="316"/>
      <c r="CA24" s="316"/>
      <c r="CB24" s="316"/>
      <c r="CC24" s="316"/>
      <c r="CD24" s="316"/>
    </row>
    <row r="25" spans="1:82" s="295" customFormat="1" ht="24" customHeight="1">
      <c r="A25" s="747">
        <v>20</v>
      </c>
      <c r="B25" s="746" t="s">
        <v>1215</v>
      </c>
      <c r="C25" s="746" t="str">
        <f t="shared" si="61"/>
        <v>Santa Fe de Antioquia</v>
      </c>
      <c r="D25" s="746" t="s">
        <v>1209</v>
      </c>
      <c r="E25" s="746">
        <v>1</v>
      </c>
      <c r="F25" s="746">
        <v>3</v>
      </c>
      <c r="G25" s="746" t="s">
        <v>1192</v>
      </c>
      <c r="H25" s="746" t="s">
        <v>377</v>
      </c>
      <c r="I25" s="746">
        <v>5</v>
      </c>
      <c r="J25" s="746">
        <v>8</v>
      </c>
      <c r="K25" s="746">
        <v>5</v>
      </c>
      <c r="L25" s="746" t="s">
        <v>377</v>
      </c>
      <c r="M25" s="746" t="s">
        <v>1193</v>
      </c>
      <c r="N25" s="746">
        <v>30</v>
      </c>
      <c r="O25" s="293"/>
      <c r="P25" s="315" t="str">
        <f t="shared" si="19"/>
        <v>X</v>
      </c>
      <c r="Q25" s="316" t="str">
        <f t="shared" si="20"/>
        <v/>
      </c>
      <c r="R25" s="316" t="str">
        <f t="shared" si="21"/>
        <v/>
      </c>
      <c r="S25" s="316" t="str">
        <f t="shared" si="22"/>
        <v/>
      </c>
      <c r="T25" s="316" t="str">
        <f t="shared" si="23"/>
        <v/>
      </c>
      <c r="U25" s="316" t="str">
        <f t="shared" si="24"/>
        <v/>
      </c>
      <c r="V25" s="316" t="str">
        <f t="shared" si="25"/>
        <v/>
      </c>
      <c r="W25" s="316" t="str">
        <f t="shared" si="26"/>
        <v/>
      </c>
      <c r="X25" s="317"/>
      <c r="Y25" s="316">
        <f t="shared" si="27"/>
        <v>5</v>
      </c>
      <c r="Z25" s="316" t="str">
        <f t="shared" si="28"/>
        <v/>
      </c>
      <c r="AA25" s="316" t="str">
        <f t="shared" si="29"/>
        <v/>
      </c>
      <c r="AB25" s="316" t="str">
        <f t="shared" si="30"/>
        <v/>
      </c>
      <c r="AC25" s="316" t="str">
        <f t="shared" si="31"/>
        <v/>
      </c>
      <c r="AD25" s="316" t="str">
        <f t="shared" si="32"/>
        <v/>
      </c>
      <c r="AE25" s="316" t="str">
        <f t="shared" si="33"/>
        <v/>
      </c>
      <c r="AF25" s="316" t="str">
        <f t="shared" si="34"/>
        <v/>
      </c>
      <c r="AG25" s="317"/>
      <c r="AH25" s="316">
        <f t="shared" si="35"/>
        <v>8</v>
      </c>
      <c r="AI25" s="316" t="str">
        <f t="shared" si="36"/>
        <v/>
      </c>
      <c r="AJ25" s="316" t="str">
        <f t="shared" si="37"/>
        <v/>
      </c>
      <c r="AK25" s="316" t="str">
        <f t="shared" si="38"/>
        <v/>
      </c>
      <c r="AL25" s="316" t="str">
        <f t="shared" si="39"/>
        <v/>
      </c>
      <c r="AM25" s="316" t="str">
        <f t="shared" si="40"/>
        <v/>
      </c>
      <c r="AN25" s="316" t="str">
        <f t="shared" si="41"/>
        <v/>
      </c>
      <c r="AO25" s="316" t="str">
        <f t="shared" si="42"/>
        <v/>
      </c>
      <c r="AP25" s="317"/>
      <c r="AQ25" s="316" t="str">
        <f t="shared" si="43"/>
        <v/>
      </c>
      <c r="AR25" s="316" t="str">
        <f t="shared" si="44"/>
        <v/>
      </c>
      <c r="AS25" s="316" t="str">
        <f t="shared" si="45"/>
        <v/>
      </c>
      <c r="AT25" s="316" t="str">
        <f t="shared" si="46"/>
        <v/>
      </c>
      <c r="AU25" s="316" t="str">
        <f t="shared" si="47"/>
        <v/>
      </c>
      <c r="AV25" s="316" t="str">
        <f t="shared" si="48"/>
        <v/>
      </c>
      <c r="AW25" s="316" t="str">
        <f t="shared" si="49"/>
        <v/>
      </c>
      <c r="AX25" s="316" t="str">
        <f t="shared" si="50"/>
        <v/>
      </c>
      <c r="AY25" s="317"/>
      <c r="AZ25" s="316">
        <f t="shared" si="51"/>
        <v>5</v>
      </c>
      <c r="BA25" s="316" t="str">
        <f t="shared" si="52"/>
        <v/>
      </c>
      <c r="BB25" s="316" t="str">
        <f t="shared" si="53"/>
        <v/>
      </c>
      <c r="BC25" s="316" t="str">
        <f t="shared" si="54"/>
        <v/>
      </c>
      <c r="BD25" s="316" t="str">
        <f t="shared" si="55"/>
        <v/>
      </c>
      <c r="BE25" s="316" t="str">
        <f t="shared" si="56"/>
        <v/>
      </c>
      <c r="BF25" s="316" t="str">
        <f t="shared" si="57"/>
        <v/>
      </c>
      <c r="BG25" s="316" t="str">
        <f t="shared" si="58"/>
        <v/>
      </c>
      <c r="BH25" s="317"/>
      <c r="BI25" s="318"/>
      <c r="BJ25" s="319" t="str">
        <f t="shared" si="59"/>
        <v>P</v>
      </c>
      <c r="BK25" s="317"/>
      <c r="BL25" s="316" t="str">
        <f t="shared" si="10"/>
        <v>P</v>
      </c>
      <c r="BM25" s="316" t="str">
        <f t="shared" si="11"/>
        <v/>
      </c>
      <c r="BN25" s="316" t="str">
        <f t="shared" si="12"/>
        <v/>
      </c>
      <c r="BO25" s="316" t="str">
        <f t="shared" si="13"/>
        <v/>
      </c>
      <c r="BP25" s="316" t="str">
        <f t="shared" si="14"/>
        <v/>
      </c>
      <c r="BQ25" s="316" t="str">
        <f t="shared" si="15"/>
        <v/>
      </c>
      <c r="BR25" s="316" t="str">
        <f t="shared" si="16"/>
        <v/>
      </c>
      <c r="BS25" s="316" t="str">
        <f t="shared" si="17"/>
        <v/>
      </c>
      <c r="BT25" s="317"/>
      <c r="BU25" s="316">
        <f t="shared" si="18"/>
        <v>1</v>
      </c>
      <c r="BV25" s="1042"/>
      <c r="BW25" s="316" t="str">
        <f t="shared" si="60"/>
        <v>X</v>
      </c>
      <c r="BX25" s="316"/>
      <c r="BY25" s="316"/>
      <c r="BZ25" s="316"/>
      <c r="CA25" s="316"/>
      <c r="CB25" s="316"/>
      <c r="CC25" s="316"/>
      <c r="CD25" s="316"/>
    </row>
    <row r="26" spans="1:82" s="295" customFormat="1" ht="24" customHeight="1">
      <c r="A26" s="747">
        <v>21</v>
      </c>
      <c r="B26" s="746" t="s">
        <v>1216</v>
      </c>
      <c r="C26" s="746" t="str">
        <f t="shared" si="61"/>
        <v>Santa Fe de Antioquia</v>
      </c>
      <c r="D26" s="746" t="s">
        <v>1209</v>
      </c>
      <c r="E26" s="746">
        <v>1</v>
      </c>
      <c r="F26" s="746">
        <v>4</v>
      </c>
      <c r="G26" s="746" t="s">
        <v>1192</v>
      </c>
      <c r="H26" s="746" t="s">
        <v>377</v>
      </c>
      <c r="I26" s="746">
        <v>13</v>
      </c>
      <c r="J26" s="746">
        <v>15</v>
      </c>
      <c r="K26" s="746">
        <v>39</v>
      </c>
      <c r="L26" s="746" t="s">
        <v>377</v>
      </c>
      <c r="M26" s="746" t="s">
        <v>1193</v>
      </c>
      <c r="N26" s="746">
        <v>28</v>
      </c>
      <c r="O26" s="293"/>
      <c r="P26" s="315" t="str">
        <f t="shared" si="19"/>
        <v>X</v>
      </c>
      <c r="Q26" s="316" t="str">
        <f t="shared" si="20"/>
        <v/>
      </c>
      <c r="R26" s="316" t="str">
        <f t="shared" si="21"/>
        <v/>
      </c>
      <c r="S26" s="316" t="str">
        <f t="shared" si="22"/>
        <v/>
      </c>
      <c r="T26" s="316" t="str">
        <f t="shared" si="23"/>
        <v/>
      </c>
      <c r="U26" s="316" t="str">
        <f t="shared" si="24"/>
        <v/>
      </c>
      <c r="V26" s="316" t="str">
        <f t="shared" si="25"/>
        <v/>
      </c>
      <c r="W26" s="316" t="str">
        <f t="shared" si="26"/>
        <v/>
      </c>
      <c r="X26" s="317"/>
      <c r="Y26" s="316">
        <f t="shared" si="27"/>
        <v>13</v>
      </c>
      <c r="Z26" s="316" t="str">
        <f t="shared" si="28"/>
        <v/>
      </c>
      <c r="AA26" s="316" t="str">
        <f t="shared" si="29"/>
        <v/>
      </c>
      <c r="AB26" s="316" t="str">
        <f t="shared" si="30"/>
        <v/>
      </c>
      <c r="AC26" s="316" t="str">
        <f t="shared" si="31"/>
        <v/>
      </c>
      <c r="AD26" s="316" t="str">
        <f t="shared" si="32"/>
        <v/>
      </c>
      <c r="AE26" s="316" t="str">
        <f t="shared" si="33"/>
        <v/>
      </c>
      <c r="AF26" s="316" t="str">
        <f t="shared" si="34"/>
        <v/>
      </c>
      <c r="AG26" s="317"/>
      <c r="AH26" s="316">
        <f t="shared" si="35"/>
        <v>15</v>
      </c>
      <c r="AI26" s="316" t="str">
        <f t="shared" si="36"/>
        <v/>
      </c>
      <c r="AJ26" s="316" t="str">
        <f t="shared" si="37"/>
        <v/>
      </c>
      <c r="AK26" s="316" t="str">
        <f t="shared" si="38"/>
        <v/>
      </c>
      <c r="AL26" s="316" t="str">
        <f t="shared" si="39"/>
        <v/>
      </c>
      <c r="AM26" s="316" t="str">
        <f t="shared" si="40"/>
        <v/>
      </c>
      <c r="AN26" s="316" t="str">
        <f t="shared" si="41"/>
        <v/>
      </c>
      <c r="AO26" s="316" t="str">
        <f t="shared" si="42"/>
        <v/>
      </c>
      <c r="AP26" s="317"/>
      <c r="AQ26" s="316" t="str">
        <f t="shared" si="43"/>
        <v/>
      </c>
      <c r="AR26" s="316" t="str">
        <f t="shared" si="44"/>
        <v/>
      </c>
      <c r="AS26" s="316" t="str">
        <f t="shared" si="45"/>
        <v/>
      </c>
      <c r="AT26" s="316" t="str">
        <f t="shared" si="46"/>
        <v/>
      </c>
      <c r="AU26" s="316" t="str">
        <f t="shared" si="47"/>
        <v/>
      </c>
      <c r="AV26" s="316" t="str">
        <f t="shared" si="48"/>
        <v/>
      </c>
      <c r="AW26" s="316" t="str">
        <f t="shared" si="49"/>
        <v/>
      </c>
      <c r="AX26" s="316" t="str">
        <f t="shared" si="50"/>
        <v/>
      </c>
      <c r="AY26" s="317"/>
      <c r="AZ26" s="316">
        <f t="shared" si="51"/>
        <v>39</v>
      </c>
      <c r="BA26" s="316" t="str">
        <f t="shared" si="52"/>
        <v/>
      </c>
      <c r="BB26" s="316" t="str">
        <f t="shared" si="53"/>
        <v/>
      </c>
      <c r="BC26" s="316" t="str">
        <f t="shared" si="54"/>
        <v/>
      </c>
      <c r="BD26" s="316" t="str">
        <f t="shared" si="55"/>
        <v/>
      </c>
      <c r="BE26" s="316" t="str">
        <f t="shared" si="56"/>
        <v/>
      </c>
      <c r="BF26" s="316" t="str">
        <f t="shared" si="57"/>
        <v/>
      </c>
      <c r="BG26" s="316" t="str">
        <f t="shared" si="58"/>
        <v/>
      </c>
      <c r="BH26" s="317"/>
      <c r="BI26" s="318"/>
      <c r="BJ26" s="319" t="str">
        <f t="shared" si="59"/>
        <v>P</v>
      </c>
      <c r="BK26" s="317"/>
      <c r="BL26" s="316" t="str">
        <f t="shared" si="10"/>
        <v>P</v>
      </c>
      <c r="BM26" s="316" t="str">
        <f t="shared" si="11"/>
        <v/>
      </c>
      <c r="BN26" s="316" t="str">
        <f t="shared" si="12"/>
        <v/>
      </c>
      <c r="BO26" s="316" t="str">
        <f t="shared" si="13"/>
        <v/>
      </c>
      <c r="BP26" s="316" t="str">
        <f t="shared" si="14"/>
        <v/>
      </c>
      <c r="BQ26" s="316" t="str">
        <f t="shared" si="15"/>
        <v/>
      </c>
      <c r="BR26" s="316" t="str">
        <f t="shared" si="16"/>
        <v/>
      </c>
      <c r="BS26" s="316" t="str">
        <f t="shared" si="17"/>
        <v/>
      </c>
      <c r="BT26" s="317"/>
      <c r="BU26" s="316">
        <f t="shared" si="18"/>
        <v>1</v>
      </c>
      <c r="BV26" s="1042"/>
      <c r="BW26" s="316" t="str">
        <f t="shared" si="60"/>
        <v>X</v>
      </c>
      <c r="BX26" s="316"/>
      <c r="BY26" s="316"/>
      <c r="BZ26" s="316"/>
      <c r="CA26" s="316"/>
      <c r="CB26" s="316"/>
      <c r="CC26" s="316"/>
      <c r="CD26" s="316"/>
    </row>
    <row r="27" spans="1:82" s="295" customFormat="1" ht="24" customHeight="1">
      <c r="A27" s="747">
        <v>22</v>
      </c>
      <c r="B27" s="746" t="s">
        <v>1217</v>
      </c>
      <c r="C27" s="746" t="str">
        <f t="shared" si="61"/>
        <v>Santa Fe de Antioquia</v>
      </c>
      <c r="D27" s="746" t="s">
        <v>1209</v>
      </c>
      <c r="E27" s="746">
        <v>1</v>
      </c>
      <c r="F27" s="746">
        <v>3</v>
      </c>
      <c r="G27" s="746" t="s">
        <v>1192</v>
      </c>
      <c r="H27" s="746" t="s">
        <v>377</v>
      </c>
      <c r="I27" s="746">
        <v>9</v>
      </c>
      <c r="J27" s="746">
        <v>10</v>
      </c>
      <c r="K27" s="746">
        <v>30</v>
      </c>
      <c r="L27" s="746" t="s">
        <v>377</v>
      </c>
      <c r="M27" s="746" t="s">
        <v>1193</v>
      </c>
      <c r="N27" s="746">
        <v>28</v>
      </c>
      <c r="O27" s="293"/>
      <c r="P27" s="315" t="str">
        <f t="shared" si="19"/>
        <v>X</v>
      </c>
      <c r="Q27" s="316" t="str">
        <f t="shared" si="20"/>
        <v/>
      </c>
      <c r="R27" s="316" t="str">
        <f t="shared" si="21"/>
        <v/>
      </c>
      <c r="S27" s="316" t="str">
        <f t="shared" si="22"/>
        <v/>
      </c>
      <c r="T27" s="316" t="str">
        <f t="shared" si="23"/>
        <v/>
      </c>
      <c r="U27" s="316" t="str">
        <f t="shared" si="24"/>
        <v/>
      </c>
      <c r="V27" s="316" t="str">
        <f t="shared" si="25"/>
        <v/>
      </c>
      <c r="W27" s="316" t="str">
        <f t="shared" si="26"/>
        <v/>
      </c>
      <c r="X27" s="317"/>
      <c r="Y27" s="316">
        <f t="shared" si="27"/>
        <v>9</v>
      </c>
      <c r="Z27" s="316" t="str">
        <f t="shared" si="28"/>
        <v/>
      </c>
      <c r="AA27" s="316" t="str">
        <f t="shared" si="29"/>
        <v/>
      </c>
      <c r="AB27" s="316" t="str">
        <f t="shared" si="30"/>
        <v/>
      </c>
      <c r="AC27" s="316" t="str">
        <f t="shared" si="31"/>
        <v/>
      </c>
      <c r="AD27" s="316" t="str">
        <f t="shared" si="32"/>
        <v/>
      </c>
      <c r="AE27" s="316" t="str">
        <f t="shared" si="33"/>
        <v/>
      </c>
      <c r="AF27" s="316" t="str">
        <f t="shared" si="34"/>
        <v/>
      </c>
      <c r="AG27" s="317"/>
      <c r="AH27" s="316">
        <f t="shared" si="35"/>
        <v>10</v>
      </c>
      <c r="AI27" s="316" t="str">
        <f t="shared" si="36"/>
        <v/>
      </c>
      <c r="AJ27" s="316" t="str">
        <f t="shared" si="37"/>
        <v/>
      </c>
      <c r="AK27" s="316" t="str">
        <f t="shared" si="38"/>
        <v/>
      </c>
      <c r="AL27" s="316" t="str">
        <f t="shared" si="39"/>
        <v/>
      </c>
      <c r="AM27" s="316" t="str">
        <f t="shared" si="40"/>
        <v/>
      </c>
      <c r="AN27" s="316" t="str">
        <f t="shared" si="41"/>
        <v/>
      </c>
      <c r="AO27" s="316" t="str">
        <f t="shared" si="42"/>
        <v/>
      </c>
      <c r="AP27" s="317"/>
      <c r="AQ27" s="316" t="str">
        <f t="shared" si="43"/>
        <v/>
      </c>
      <c r="AR27" s="316" t="str">
        <f t="shared" si="44"/>
        <v/>
      </c>
      <c r="AS27" s="316" t="str">
        <f t="shared" si="45"/>
        <v/>
      </c>
      <c r="AT27" s="316" t="str">
        <f t="shared" si="46"/>
        <v/>
      </c>
      <c r="AU27" s="316" t="str">
        <f t="shared" si="47"/>
        <v/>
      </c>
      <c r="AV27" s="316" t="str">
        <f t="shared" si="48"/>
        <v/>
      </c>
      <c r="AW27" s="316" t="str">
        <f t="shared" si="49"/>
        <v/>
      </c>
      <c r="AX27" s="316" t="str">
        <f t="shared" si="50"/>
        <v/>
      </c>
      <c r="AY27" s="317"/>
      <c r="AZ27" s="316">
        <f t="shared" si="51"/>
        <v>30</v>
      </c>
      <c r="BA27" s="316" t="str">
        <f t="shared" si="52"/>
        <v/>
      </c>
      <c r="BB27" s="316" t="str">
        <f t="shared" si="53"/>
        <v/>
      </c>
      <c r="BC27" s="316" t="str">
        <f t="shared" si="54"/>
        <v/>
      </c>
      <c r="BD27" s="316" t="str">
        <f t="shared" si="55"/>
        <v/>
      </c>
      <c r="BE27" s="316" t="str">
        <f t="shared" si="56"/>
        <v/>
      </c>
      <c r="BF27" s="316" t="str">
        <f t="shared" si="57"/>
        <v/>
      </c>
      <c r="BG27" s="316" t="str">
        <f t="shared" si="58"/>
        <v/>
      </c>
      <c r="BH27" s="317"/>
      <c r="BI27" s="318"/>
      <c r="BJ27" s="319" t="str">
        <f t="shared" si="59"/>
        <v>P</v>
      </c>
      <c r="BK27" s="317"/>
      <c r="BL27" s="316" t="str">
        <f t="shared" si="10"/>
        <v>P</v>
      </c>
      <c r="BM27" s="316" t="str">
        <f t="shared" si="11"/>
        <v/>
      </c>
      <c r="BN27" s="316" t="str">
        <f t="shared" si="12"/>
        <v/>
      </c>
      <c r="BO27" s="316" t="str">
        <f t="shared" si="13"/>
        <v/>
      </c>
      <c r="BP27" s="316" t="str">
        <f t="shared" si="14"/>
        <v/>
      </c>
      <c r="BQ27" s="316" t="str">
        <f t="shared" si="15"/>
        <v/>
      </c>
      <c r="BR27" s="316" t="str">
        <f t="shared" si="16"/>
        <v/>
      </c>
      <c r="BS27" s="316" t="str">
        <f t="shared" si="17"/>
        <v/>
      </c>
      <c r="BT27" s="317"/>
      <c r="BU27" s="316">
        <f t="shared" si="18"/>
        <v>1</v>
      </c>
      <c r="BV27" s="1042"/>
      <c r="BW27" s="316" t="str">
        <f t="shared" si="60"/>
        <v>X</v>
      </c>
      <c r="BX27" s="316"/>
      <c r="BY27" s="316"/>
      <c r="BZ27" s="316"/>
      <c r="CA27" s="316"/>
      <c r="CB27" s="316"/>
      <c r="CC27" s="316"/>
      <c r="CD27" s="316"/>
    </row>
    <row r="28" spans="1:82" s="295" customFormat="1" ht="24" customHeight="1">
      <c r="A28" s="747">
        <v>23</v>
      </c>
      <c r="B28" s="746" t="s">
        <v>1218</v>
      </c>
      <c r="C28" s="746" t="str">
        <f t="shared" si="61"/>
        <v>Santa Fe de Antioquia</v>
      </c>
      <c r="D28" s="746" t="s">
        <v>1079</v>
      </c>
      <c r="E28" s="746">
        <v>1</v>
      </c>
      <c r="F28" s="746">
        <v>5</v>
      </c>
      <c r="G28" s="746" t="s">
        <v>1192</v>
      </c>
      <c r="H28" s="746" t="s">
        <v>377</v>
      </c>
      <c r="I28" s="746">
        <v>9</v>
      </c>
      <c r="J28" s="746">
        <v>10</v>
      </c>
      <c r="K28" s="746">
        <v>3</v>
      </c>
      <c r="L28" s="746" t="s">
        <v>377</v>
      </c>
      <c r="M28" s="746" t="s">
        <v>1193</v>
      </c>
      <c r="N28" s="746">
        <v>37</v>
      </c>
      <c r="O28" s="293"/>
      <c r="P28" s="315" t="str">
        <f t="shared" si="19"/>
        <v>X</v>
      </c>
      <c r="Q28" s="316" t="str">
        <f t="shared" si="20"/>
        <v/>
      </c>
      <c r="R28" s="316" t="str">
        <f t="shared" si="21"/>
        <v/>
      </c>
      <c r="S28" s="316" t="str">
        <f t="shared" si="22"/>
        <v/>
      </c>
      <c r="T28" s="316" t="str">
        <f t="shared" si="23"/>
        <v/>
      </c>
      <c r="U28" s="316" t="str">
        <f t="shared" si="24"/>
        <v/>
      </c>
      <c r="V28" s="316" t="str">
        <f t="shared" si="25"/>
        <v/>
      </c>
      <c r="W28" s="316" t="str">
        <f t="shared" si="26"/>
        <v/>
      </c>
      <c r="X28" s="317"/>
      <c r="Y28" s="316">
        <f t="shared" si="27"/>
        <v>9</v>
      </c>
      <c r="Z28" s="316" t="str">
        <f t="shared" si="28"/>
        <v/>
      </c>
      <c r="AA28" s="316" t="str">
        <f t="shared" si="29"/>
        <v/>
      </c>
      <c r="AB28" s="316" t="str">
        <f t="shared" si="30"/>
        <v/>
      </c>
      <c r="AC28" s="316" t="str">
        <f t="shared" si="31"/>
        <v/>
      </c>
      <c r="AD28" s="316" t="str">
        <f t="shared" si="32"/>
        <v/>
      </c>
      <c r="AE28" s="316" t="str">
        <f t="shared" si="33"/>
        <v/>
      </c>
      <c r="AF28" s="316" t="str">
        <f t="shared" si="34"/>
        <v/>
      </c>
      <c r="AG28" s="317"/>
      <c r="AH28" s="316">
        <f t="shared" si="35"/>
        <v>10</v>
      </c>
      <c r="AI28" s="316" t="str">
        <f t="shared" si="36"/>
        <v/>
      </c>
      <c r="AJ28" s="316" t="str">
        <f t="shared" si="37"/>
        <v/>
      </c>
      <c r="AK28" s="316" t="str">
        <f t="shared" si="38"/>
        <v/>
      </c>
      <c r="AL28" s="316" t="str">
        <f t="shared" si="39"/>
        <v/>
      </c>
      <c r="AM28" s="316" t="str">
        <f t="shared" si="40"/>
        <v/>
      </c>
      <c r="AN28" s="316" t="str">
        <f t="shared" si="41"/>
        <v/>
      </c>
      <c r="AO28" s="316" t="str">
        <f t="shared" si="42"/>
        <v/>
      </c>
      <c r="AP28" s="317"/>
      <c r="AQ28" s="316" t="str">
        <f t="shared" si="43"/>
        <v/>
      </c>
      <c r="AR28" s="316" t="str">
        <f t="shared" si="44"/>
        <v/>
      </c>
      <c r="AS28" s="316" t="str">
        <f t="shared" si="45"/>
        <v/>
      </c>
      <c r="AT28" s="316" t="str">
        <f t="shared" si="46"/>
        <v/>
      </c>
      <c r="AU28" s="316" t="str">
        <f t="shared" si="47"/>
        <v/>
      </c>
      <c r="AV28" s="316" t="str">
        <f t="shared" si="48"/>
        <v/>
      </c>
      <c r="AW28" s="316" t="str">
        <f t="shared" si="49"/>
        <v/>
      </c>
      <c r="AX28" s="316" t="str">
        <f t="shared" si="50"/>
        <v/>
      </c>
      <c r="AY28" s="317"/>
      <c r="AZ28" s="316">
        <f t="shared" si="51"/>
        <v>3</v>
      </c>
      <c r="BA28" s="316" t="str">
        <f t="shared" si="52"/>
        <v/>
      </c>
      <c r="BB28" s="316" t="str">
        <f t="shared" si="53"/>
        <v/>
      </c>
      <c r="BC28" s="316" t="str">
        <f t="shared" si="54"/>
        <v/>
      </c>
      <c r="BD28" s="316" t="str">
        <f t="shared" si="55"/>
        <v/>
      </c>
      <c r="BE28" s="316" t="str">
        <f t="shared" si="56"/>
        <v/>
      </c>
      <c r="BF28" s="316" t="str">
        <f t="shared" si="57"/>
        <v/>
      </c>
      <c r="BG28" s="316" t="str">
        <f t="shared" si="58"/>
        <v/>
      </c>
      <c r="BH28" s="317"/>
      <c r="BI28" s="318"/>
      <c r="BJ28" s="319" t="str">
        <f t="shared" si="59"/>
        <v>P</v>
      </c>
      <c r="BK28" s="317"/>
      <c r="BL28" s="316" t="str">
        <f t="shared" si="10"/>
        <v>P</v>
      </c>
      <c r="BM28" s="316" t="str">
        <f t="shared" si="11"/>
        <v/>
      </c>
      <c r="BN28" s="316" t="str">
        <f t="shared" si="12"/>
        <v/>
      </c>
      <c r="BO28" s="316" t="str">
        <f t="shared" si="13"/>
        <v/>
      </c>
      <c r="BP28" s="316" t="str">
        <f t="shared" si="14"/>
        <v/>
      </c>
      <c r="BQ28" s="316" t="str">
        <f t="shared" si="15"/>
        <v/>
      </c>
      <c r="BR28" s="316" t="str">
        <f t="shared" si="16"/>
        <v/>
      </c>
      <c r="BS28" s="316" t="str">
        <f t="shared" si="17"/>
        <v/>
      </c>
      <c r="BT28" s="317"/>
      <c r="BU28" s="316">
        <f t="shared" si="18"/>
        <v>1</v>
      </c>
      <c r="BV28" s="1042"/>
      <c r="BW28" s="316" t="str">
        <f t="shared" si="60"/>
        <v>X</v>
      </c>
      <c r="BX28" s="316"/>
      <c r="BY28" s="316"/>
      <c r="BZ28" s="316"/>
      <c r="CA28" s="316"/>
      <c r="CB28" s="316"/>
      <c r="CC28" s="316"/>
      <c r="CD28" s="316"/>
    </row>
    <row r="29" spans="1:82" s="295" customFormat="1" ht="24" customHeight="1">
      <c r="A29" s="747">
        <v>24</v>
      </c>
      <c r="B29" s="746" t="s">
        <v>1219</v>
      </c>
      <c r="C29" s="746" t="str">
        <f t="shared" si="61"/>
        <v>Santa Fe de Antioquia</v>
      </c>
      <c r="D29" s="746" t="s">
        <v>1209</v>
      </c>
      <c r="E29" s="746">
        <v>1</v>
      </c>
      <c r="F29" s="746">
        <v>4</v>
      </c>
      <c r="G29" s="746" t="s">
        <v>1192</v>
      </c>
      <c r="H29" s="746" t="s">
        <v>377</v>
      </c>
      <c r="I29" s="746">
        <v>25</v>
      </c>
      <c r="J29" s="746">
        <v>10</v>
      </c>
      <c r="K29" s="746">
        <v>20</v>
      </c>
      <c r="L29" s="746" t="s">
        <v>377</v>
      </c>
      <c r="M29" s="746" t="s">
        <v>1193</v>
      </c>
      <c r="N29" s="746">
        <v>38</v>
      </c>
      <c r="O29" s="293"/>
      <c r="P29" s="315" t="str">
        <f t="shared" si="19"/>
        <v>X</v>
      </c>
      <c r="Q29" s="316" t="str">
        <f t="shared" si="20"/>
        <v/>
      </c>
      <c r="R29" s="316" t="str">
        <f t="shared" si="21"/>
        <v/>
      </c>
      <c r="S29" s="316" t="str">
        <f t="shared" si="22"/>
        <v/>
      </c>
      <c r="T29" s="316" t="str">
        <f t="shared" si="23"/>
        <v/>
      </c>
      <c r="U29" s="316" t="str">
        <f t="shared" si="24"/>
        <v/>
      </c>
      <c r="V29" s="316" t="str">
        <f t="shared" si="25"/>
        <v/>
      </c>
      <c r="W29" s="316" t="str">
        <f t="shared" si="26"/>
        <v/>
      </c>
      <c r="X29" s="317"/>
      <c r="Y29" s="316">
        <f t="shared" si="27"/>
        <v>25</v>
      </c>
      <c r="Z29" s="316" t="str">
        <f t="shared" si="28"/>
        <v/>
      </c>
      <c r="AA29" s="316" t="str">
        <f t="shared" si="29"/>
        <v/>
      </c>
      <c r="AB29" s="316" t="str">
        <f t="shared" si="30"/>
        <v/>
      </c>
      <c r="AC29" s="316" t="str">
        <f t="shared" si="31"/>
        <v/>
      </c>
      <c r="AD29" s="316" t="str">
        <f t="shared" si="32"/>
        <v/>
      </c>
      <c r="AE29" s="316" t="str">
        <f t="shared" si="33"/>
        <v/>
      </c>
      <c r="AF29" s="316" t="str">
        <f t="shared" si="34"/>
        <v/>
      </c>
      <c r="AG29" s="317"/>
      <c r="AH29" s="316">
        <f t="shared" si="35"/>
        <v>10</v>
      </c>
      <c r="AI29" s="316" t="str">
        <f t="shared" si="36"/>
        <v/>
      </c>
      <c r="AJ29" s="316" t="str">
        <f t="shared" si="37"/>
        <v/>
      </c>
      <c r="AK29" s="316" t="str">
        <f t="shared" si="38"/>
        <v/>
      </c>
      <c r="AL29" s="316" t="str">
        <f t="shared" si="39"/>
        <v/>
      </c>
      <c r="AM29" s="316" t="str">
        <f t="shared" si="40"/>
        <v/>
      </c>
      <c r="AN29" s="316" t="str">
        <f t="shared" si="41"/>
        <v/>
      </c>
      <c r="AO29" s="316" t="str">
        <f t="shared" si="42"/>
        <v/>
      </c>
      <c r="AP29" s="317"/>
      <c r="AQ29" s="316" t="str">
        <f t="shared" si="43"/>
        <v/>
      </c>
      <c r="AR29" s="316" t="str">
        <f t="shared" si="44"/>
        <v/>
      </c>
      <c r="AS29" s="316" t="str">
        <f t="shared" si="45"/>
        <v/>
      </c>
      <c r="AT29" s="316" t="str">
        <f t="shared" si="46"/>
        <v/>
      </c>
      <c r="AU29" s="316" t="str">
        <f t="shared" si="47"/>
        <v/>
      </c>
      <c r="AV29" s="316" t="str">
        <f t="shared" si="48"/>
        <v/>
      </c>
      <c r="AW29" s="316" t="str">
        <f t="shared" si="49"/>
        <v/>
      </c>
      <c r="AX29" s="316" t="str">
        <f t="shared" si="50"/>
        <v/>
      </c>
      <c r="AY29" s="317"/>
      <c r="AZ29" s="316">
        <f t="shared" si="51"/>
        <v>20</v>
      </c>
      <c r="BA29" s="316" t="str">
        <f t="shared" si="52"/>
        <v/>
      </c>
      <c r="BB29" s="316" t="str">
        <f t="shared" si="53"/>
        <v/>
      </c>
      <c r="BC29" s="316" t="str">
        <f t="shared" si="54"/>
        <v/>
      </c>
      <c r="BD29" s="316" t="str">
        <f t="shared" si="55"/>
        <v/>
      </c>
      <c r="BE29" s="316" t="str">
        <f t="shared" si="56"/>
        <v/>
      </c>
      <c r="BF29" s="316" t="str">
        <f t="shared" si="57"/>
        <v/>
      </c>
      <c r="BG29" s="316" t="str">
        <f t="shared" si="58"/>
        <v/>
      </c>
      <c r="BH29" s="317"/>
      <c r="BI29" s="318"/>
      <c r="BJ29" s="319" t="str">
        <f t="shared" si="59"/>
        <v>P</v>
      </c>
      <c r="BK29" s="317"/>
      <c r="BL29" s="316" t="str">
        <f t="shared" si="10"/>
        <v>P</v>
      </c>
      <c r="BM29" s="316" t="str">
        <f t="shared" si="11"/>
        <v/>
      </c>
      <c r="BN29" s="316" t="str">
        <f t="shared" si="12"/>
        <v/>
      </c>
      <c r="BO29" s="316" t="str">
        <f t="shared" si="13"/>
        <v/>
      </c>
      <c r="BP29" s="316" t="str">
        <f t="shared" si="14"/>
        <v/>
      </c>
      <c r="BQ29" s="316" t="str">
        <f t="shared" si="15"/>
        <v/>
      </c>
      <c r="BR29" s="316" t="str">
        <f t="shared" si="16"/>
        <v/>
      </c>
      <c r="BS29" s="316" t="str">
        <f t="shared" si="17"/>
        <v/>
      </c>
      <c r="BT29" s="317"/>
      <c r="BU29" s="316">
        <f t="shared" si="18"/>
        <v>1</v>
      </c>
      <c r="BV29" s="1042"/>
      <c r="BW29" s="316" t="str">
        <f t="shared" si="60"/>
        <v>X</v>
      </c>
      <c r="BX29" s="316"/>
      <c r="BY29" s="316"/>
      <c r="BZ29" s="316"/>
      <c r="CA29" s="316"/>
      <c r="CB29" s="316"/>
      <c r="CC29" s="316"/>
      <c r="CD29" s="316"/>
    </row>
    <row r="30" spans="1:82" s="295" customFormat="1" ht="24" customHeight="1">
      <c r="A30" s="747">
        <v>25</v>
      </c>
      <c r="B30" s="746" t="s">
        <v>1220</v>
      </c>
      <c r="C30" s="746" t="str">
        <f t="shared" si="61"/>
        <v>Santa Fe de Antioquia</v>
      </c>
      <c r="D30" s="746" t="s">
        <v>1209</v>
      </c>
      <c r="E30" s="746">
        <v>1</v>
      </c>
      <c r="F30" s="746">
        <v>4</v>
      </c>
      <c r="G30" s="746" t="s">
        <v>1192</v>
      </c>
      <c r="H30" s="746" t="s">
        <v>377</v>
      </c>
      <c r="I30" s="746">
        <v>12</v>
      </c>
      <c r="J30" s="746">
        <v>10</v>
      </c>
      <c r="K30" s="746">
        <v>20</v>
      </c>
      <c r="L30" s="746" t="s">
        <v>377</v>
      </c>
      <c r="M30" s="746" t="s">
        <v>1193</v>
      </c>
      <c r="N30" s="746">
        <v>36</v>
      </c>
      <c r="O30" s="293"/>
      <c r="P30" s="315" t="str">
        <f t="shared" si="19"/>
        <v>X</v>
      </c>
      <c r="Q30" s="316" t="str">
        <f t="shared" si="20"/>
        <v/>
      </c>
      <c r="R30" s="316" t="str">
        <f t="shared" si="21"/>
        <v/>
      </c>
      <c r="S30" s="316" t="str">
        <f t="shared" si="22"/>
        <v/>
      </c>
      <c r="T30" s="316" t="str">
        <f t="shared" si="23"/>
        <v/>
      </c>
      <c r="U30" s="316" t="str">
        <f t="shared" si="24"/>
        <v/>
      </c>
      <c r="V30" s="316" t="str">
        <f t="shared" si="25"/>
        <v/>
      </c>
      <c r="W30" s="316" t="str">
        <f t="shared" si="26"/>
        <v/>
      </c>
      <c r="X30" s="317"/>
      <c r="Y30" s="316">
        <f t="shared" si="27"/>
        <v>12</v>
      </c>
      <c r="Z30" s="316" t="str">
        <f t="shared" si="28"/>
        <v/>
      </c>
      <c r="AA30" s="316" t="str">
        <f t="shared" si="29"/>
        <v/>
      </c>
      <c r="AB30" s="316" t="str">
        <f t="shared" si="30"/>
        <v/>
      </c>
      <c r="AC30" s="316" t="str">
        <f t="shared" si="31"/>
        <v/>
      </c>
      <c r="AD30" s="316" t="str">
        <f t="shared" si="32"/>
        <v/>
      </c>
      <c r="AE30" s="316" t="str">
        <f t="shared" si="33"/>
        <v/>
      </c>
      <c r="AF30" s="316" t="str">
        <f t="shared" si="34"/>
        <v/>
      </c>
      <c r="AG30" s="317"/>
      <c r="AH30" s="316">
        <f t="shared" si="35"/>
        <v>10</v>
      </c>
      <c r="AI30" s="316" t="str">
        <f t="shared" si="36"/>
        <v/>
      </c>
      <c r="AJ30" s="316" t="str">
        <f t="shared" si="37"/>
        <v/>
      </c>
      <c r="AK30" s="316" t="str">
        <f t="shared" si="38"/>
        <v/>
      </c>
      <c r="AL30" s="316" t="str">
        <f t="shared" si="39"/>
        <v/>
      </c>
      <c r="AM30" s="316" t="str">
        <f t="shared" si="40"/>
        <v/>
      </c>
      <c r="AN30" s="316" t="str">
        <f t="shared" si="41"/>
        <v/>
      </c>
      <c r="AO30" s="316" t="str">
        <f t="shared" si="42"/>
        <v/>
      </c>
      <c r="AP30" s="317"/>
      <c r="AQ30" s="316" t="str">
        <f t="shared" si="43"/>
        <v/>
      </c>
      <c r="AR30" s="316" t="str">
        <f t="shared" si="44"/>
        <v/>
      </c>
      <c r="AS30" s="316" t="str">
        <f t="shared" si="45"/>
        <v/>
      </c>
      <c r="AT30" s="316" t="str">
        <f t="shared" si="46"/>
        <v/>
      </c>
      <c r="AU30" s="316" t="str">
        <f t="shared" si="47"/>
        <v/>
      </c>
      <c r="AV30" s="316" t="str">
        <f t="shared" si="48"/>
        <v/>
      </c>
      <c r="AW30" s="316" t="str">
        <f t="shared" si="49"/>
        <v/>
      </c>
      <c r="AX30" s="316" t="str">
        <f t="shared" si="50"/>
        <v/>
      </c>
      <c r="AY30" s="317"/>
      <c r="AZ30" s="316">
        <f t="shared" si="51"/>
        <v>20</v>
      </c>
      <c r="BA30" s="316" t="str">
        <f t="shared" si="52"/>
        <v/>
      </c>
      <c r="BB30" s="316" t="str">
        <f t="shared" si="53"/>
        <v/>
      </c>
      <c r="BC30" s="316" t="str">
        <f t="shared" si="54"/>
        <v/>
      </c>
      <c r="BD30" s="316" t="str">
        <f t="shared" si="55"/>
        <v/>
      </c>
      <c r="BE30" s="316" t="str">
        <f t="shared" si="56"/>
        <v/>
      </c>
      <c r="BF30" s="316" t="str">
        <f t="shared" si="57"/>
        <v/>
      </c>
      <c r="BG30" s="316" t="str">
        <f t="shared" si="58"/>
        <v/>
      </c>
      <c r="BH30" s="317"/>
      <c r="BI30" s="318"/>
      <c r="BJ30" s="319" t="str">
        <f t="shared" si="59"/>
        <v>P</v>
      </c>
      <c r="BK30" s="317"/>
      <c r="BL30" s="316" t="str">
        <f t="shared" si="10"/>
        <v>P</v>
      </c>
      <c r="BM30" s="316" t="str">
        <f t="shared" si="11"/>
        <v/>
      </c>
      <c r="BN30" s="316" t="str">
        <f t="shared" si="12"/>
        <v/>
      </c>
      <c r="BO30" s="316" t="str">
        <f t="shared" si="13"/>
        <v/>
      </c>
      <c r="BP30" s="316" t="str">
        <f t="shared" si="14"/>
        <v/>
      </c>
      <c r="BQ30" s="316" t="str">
        <f t="shared" si="15"/>
        <v/>
      </c>
      <c r="BR30" s="316" t="str">
        <f t="shared" si="16"/>
        <v/>
      </c>
      <c r="BS30" s="316" t="str">
        <f t="shared" si="17"/>
        <v/>
      </c>
      <c r="BT30" s="317"/>
      <c r="BU30" s="316">
        <f t="shared" si="18"/>
        <v>1</v>
      </c>
      <c r="BV30" s="1042"/>
      <c r="BW30" s="316" t="str">
        <f t="shared" si="60"/>
        <v>X</v>
      </c>
      <c r="BX30" s="316"/>
      <c r="BY30" s="316"/>
      <c r="BZ30" s="316"/>
      <c r="CA30" s="316"/>
      <c r="CB30" s="316"/>
      <c r="CC30" s="316"/>
      <c r="CD30" s="316"/>
    </row>
    <row r="31" spans="1:82" s="295" customFormat="1" ht="24" customHeight="1">
      <c r="A31" s="747">
        <v>26</v>
      </c>
      <c r="B31" s="746" t="s">
        <v>1221</v>
      </c>
      <c r="C31" s="746" t="str">
        <f t="shared" si="61"/>
        <v>Santa Fe de Antioquia</v>
      </c>
      <c r="D31" s="746" t="s">
        <v>1222</v>
      </c>
      <c r="E31" s="746">
        <v>1</v>
      </c>
      <c r="F31" s="746">
        <v>3</v>
      </c>
      <c r="G31" s="746" t="s">
        <v>1192</v>
      </c>
      <c r="H31" s="746" t="s">
        <v>377</v>
      </c>
      <c r="I31" s="746">
        <v>15</v>
      </c>
      <c r="J31" s="746">
        <v>6</v>
      </c>
      <c r="K31" s="746">
        <v>3</v>
      </c>
      <c r="L31" s="746" t="s">
        <v>377</v>
      </c>
      <c r="M31" s="746" t="s">
        <v>1193</v>
      </c>
      <c r="N31" s="746">
        <v>5</v>
      </c>
      <c r="O31" s="293"/>
      <c r="P31" s="315" t="str">
        <f t="shared" si="19"/>
        <v>X</v>
      </c>
      <c r="Q31" s="316" t="str">
        <f t="shared" si="20"/>
        <v/>
      </c>
      <c r="R31" s="316" t="str">
        <f t="shared" si="21"/>
        <v/>
      </c>
      <c r="S31" s="316" t="str">
        <f t="shared" si="22"/>
        <v/>
      </c>
      <c r="T31" s="316" t="str">
        <f t="shared" si="23"/>
        <v/>
      </c>
      <c r="U31" s="316" t="str">
        <f t="shared" si="24"/>
        <v/>
      </c>
      <c r="V31" s="316" t="str">
        <f t="shared" si="25"/>
        <v/>
      </c>
      <c r="W31" s="316" t="str">
        <f t="shared" si="26"/>
        <v/>
      </c>
      <c r="X31" s="317"/>
      <c r="Y31" s="316">
        <f t="shared" si="27"/>
        <v>15</v>
      </c>
      <c r="Z31" s="316" t="str">
        <f t="shared" si="28"/>
        <v/>
      </c>
      <c r="AA31" s="316" t="str">
        <f t="shared" si="29"/>
        <v/>
      </c>
      <c r="AB31" s="316" t="str">
        <f t="shared" si="30"/>
        <v/>
      </c>
      <c r="AC31" s="316" t="str">
        <f t="shared" si="31"/>
        <v/>
      </c>
      <c r="AD31" s="316" t="str">
        <f t="shared" si="32"/>
        <v/>
      </c>
      <c r="AE31" s="316" t="str">
        <f t="shared" si="33"/>
        <v/>
      </c>
      <c r="AF31" s="316" t="str">
        <f t="shared" si="34"/>
        <v/>
      </c>
      <c r="AG31" s="317"/>
      <c r="AH31" s="316">
        <f t="shared" si="35"/>
        <v>6</v>
      </c>
      <c r="AI31" s="316" t="str">
        <f t="shared" si="36"/>
        <v/>
      </c>
      <c r="AJ31" s="316" t="str">
        <f t="shared" si="37"/>
        <v/>
      </c>
      <c r="AK31" s="316" t="str">
        <f t="shared" si="38"/>
        <v/>
      </c>
      <c r="AL31" s="316" t="str">
        <f t="shared" si="39"/>
        <v/>
      </c>
      <c r="AM31" s="316" t="str">
        <f t="shared" si="40"/>
        <v/>
      </c>
      <c r="AN31" s="316" t="str">
        <f t="shared" si="41"/>
        <v/>
      </c>
      <c r="AO31" s="316" t="str">
        <f t="shared" si="42"/>
        <v/>
      </c>
      <c r="AP31" s="317"/>
      <c r="AQ31" s="316" t="str">
        <f t="shared" si="43"/>
        <v/>
      </c>
      <c r="AR31" s="316" t="str">
        <f t="shared" si="44"/>
        <v/>
      </c>
      <c r="AS31" s="316" t="str">
        <f t="shared" si="45"/>
        <v/>
      </c>
      <c r="AT31" s="316" t="str">
        <f t="shared" si="46"/>
        <v/>
      </c>
      <c r="AU31" s="316" t="str">
        <f t="shared" si="47"/>
        <v/>
      </c>
      <c r="AV31" s="316" t="str">
        <f t="shared" si="48"/>
        <v/>
      </c>
      <c r="AW31" s="316" t="str">
        <f t="shared" si="49"/>
        <v/>
      </c>
      <c r="AX31" s="316" t="str">
        <f t="shared" si="50"/>
        <v/>
      </c>
      <c r="AY31" s="317"/>
      <c r="AZ31" s="316">
        <f t="shared" si="51"/>
        <v>3</v>
      </c>
      <c r="BA31" s="316" t="str">
        <f t="shared" si="52"/>
        <v/>
      </c>
      <c r="BB31" s="316" t="str">
        <f t="shared" si="53"/>
        <v/>
      </c>
      <c r="BC31" s="316" t="str">
        <f t="shared" si="54"/>
        <v/>
      </c>
      <c r="BD31" s="316" t="str">
        <f t="shared" si="55"/>
        <v/>
      </c>
      <c r="BE31" s="316" t="str">
        <f t="shared" si="56"/>
        <v/>
      </c>
      <c r="BF31" s="316" t="str">
        <f t="shared" si="57"/>
        <v/>
      </c>
      <c r="BG31" s="316" t="str">
        <f t="shared" si="58"/>
        <v/>
      </c>
      <c r="BH31" s="317"/>
      <c r="BI31" s="318"/>
      <c r="BJ31" s="319" t="str">
        <f t="shared" si="59"/>
        <v>P</v>
      </c>
      <c r="BK31" s="317"/>
      <c r="BL31" s="316" t="str">
        <f t="shared" si="10"/>
        <v>P</v>
      </c>
      <c r="BM31" s="316" t="str">
        <f t="shared" si="11"/>
        <v/>
      </c>
      <c r="BN31" s="316" t="str">
        <f t="shared" si="12"/>
        <v/>
      </c>
      <c r="BO31" s="316" t="str">
        <f t="shared" si="13"/>
        <v/>
      </c>
      <c r="BP31" s="316" t="str">
        <f t="shared" si="14"/>
        <v/>
      </c>
      <c r="BQ31" s="316" t="str">
        <f t="shared" si="15"/>
        <v/>
      </c>
      <c r="BR31" s="316" t="str">
        <f t="shared" si="16"/>
        <v/>
      </c>
      <c r="BS31" s="316" t="str">
        <f t="shared" si="17"/>
        <v/>
      </c>
      <c r="BT31" s="317"/>
      <c r="BU31" s="316">
        <f t="shared" si="18"/>
        <v>1</v>
      </c>
      <c r="BV31" s="1042"/>
      <c r="BW31" s="316" t="str">
        <f t="shared" si="60"/>
        <v>X</v>
      </c>
      <c r="BX31" s="316"/>
      <c r="BY31" s="316"/>
      <c r="BZ31" s="316"/>
      <c r="CA31" s="316"/>
      <c r="CB31" s="316"/>
      <c r="CC31" s="316"/>
      <c r="CD31" s="316"/>
    </row>
    <row r="32" spans="1:82" s="295" customFormat="1" ht="24" customHeight="1">
      <c r="A32" s="747">
        <v>27</v>
      </c>
      <c r="B32" s="746" t="s">
        <v>1223</v>
      </c>
      <c r="C32" s="746" t="str">
        <f t="shared" si="61"/>
        <v>Santa Fe de Antioquia</v>
      </c>
      <c r="D32" s="746" t="s">
        <v>1222</v>
      </c>
      <c r="E32" s="746">
        <v>1</v>
      </c>
      <c r="F32" s="746">
        <v>3</v>
      </c>
      <c r="G32" s="746" t="s">
        <v>1192</v>
      </c>
      <c r="H32" s="746" t="s">
        <v>377</v>
      </c>
      <c r="I32" s="746">
        <v>12</v>
      </c>
      <c r="J32" s="746">
        <v>6</v>
      </c>
      <c r="K32" s="746">
        <v>3</v>
      </c>
      <c r="L32" s="746" t="s">
        <v>377</v>
      </c>
      <c r="M32" s="746" t="s">
        <v>1193</v>
      </c>
      <c r="N32" s="746">
        <v>6.5</v>
      </c>
      <c r="O32" s="293"/>
      <c r="P32" s="315" t="str">
        <f t="shared" si="19"/>
        <v>X</v>
      </c>
      <c r="Q32" s="316" t="str">
        <f t="shared" si="20"/>
        <v/>
      </c>
      <c r="R32" s="316" t="str">
        <f t="shared" si="21"/>
        <v/>
      </c>
      <c r="S32" s="316" t="str">
        <f t="shared" si="22"/>
        <v/>
      </c>
      <c r="T32" s="316" t="str">
        <f t="shared" si="23"/>
        <v/>
      </c>
      <c r="U32" s="316" t="str">
        <f t="shared" si="24"/>
        <v/>
      </c>
      <c r="V32" s="316" t="str">
        <f t="shared" si="25"/>
        <v/>
      </c>
      <c r="W32" s="316" t="str">
        <f t="shared" si="26"/>
        <v/>
      </c>
      <c r="X32" s="317"/>
      <c r="Y32" s="316">
        <f t="shared" si="27"/>
        <v>12</v>
      </c>
      <c r="Z32" s="316" t="str">
        <f t="shared" si="28"/>
        <v/>
      </c>
      <c r="AA32" s="316" t="str">
        <f t="shared" si="29"/>
        <v/>
      </c>
      <c r="AB32" s="316" t="str">
        <f t="shared" si="30"/>
        <v/>
      </c>
      <c r="AC32" s="316" t="str">
        <f t="shared" si="31"/>
        <v/>
      </c>
      <c r="AD32" s="316" t="str">
        <f t="shared" si="32"/>
        <v/>
      </c>
      <c r="AE32" s="316" t="str">
        <f t="shared" si="33"/>
        <v/>
      </c>
      <c r="AF32" s="316" t="str">
        <f t="shared" si="34"/>
        <v/>
      </c>
      <c r="AG32" s="317"/>
      <c r="AH32" s="316">
        <f t="shared" si="35"/>
        <v>6</v>
      </c>
      <c r="AI32" s="316" t="str">
        <f t="shared" si="36"/>
        <v/>
      </c>
      <c r="AJ32" s="316" t="str">
        <f t="shared" si="37"/>
        <v/>
      </c>
      <c r="AK32" s="316" t="str">
        <f t="shared" si="38"/>
        <v/>
      </c>
      <c r="AL32" s="316" t="str">
        <f t="shared" si="39"/>
        <v/>
      </c>
      <c r="AM32" s="316" t="str">
        <f t="shared" si="40"/>
        <v/>
      </c>
      <c r="AN32" s="316" t="str">
        <f t="shared" si="41"/>
        <v/>
      </c>
      <c r="AO32" s="316" t="str">
        <f t="shared" si="42"/>
        <v/>
      </c>
      <c r="AP32" s="317"/>
      <c r="AQ32" s="316" t="str">
        <f t="shared" si="43"/>
        <v/>
      </c>
      <c r="AR32" s="316" t="str">
        <f t="shared" si="44"/>
        <v/>
      </c>
      <c r="AS32" s="316" t="str">
        <f t="shared" si="45"/>
        <v/>
      </c>
      <c r="AT32" s="316" t="str">
        <f t="shared" si="46"/>
        <v/>
      </c>
      <c r="AU32" s="316" t="str">
        <f t="shared" si="47"/>
        <v/>
      </c>
      <c r="AV32" s="316" t="str">
        <f t="shared" si="48"/>
        <v/>
      </c>
      <c r="AW32" s="316" t="str">
        <f t="shared" si="49"/>
        <v/>
      </c>
      <c r="AX32" s="316" t="str">
        <f t="shared" si="50"/>
        <v/>
      </c>
      <c r="AY32" s="317"/>
      <c r="AZ32" s="316">
        <f t="shared" si="51"/>
        <v>3</v>
      </c>
      <c r="BA32" s="316" t="str">
        <f t="shared" si="52"/>
        <v/>
      </c>
      <c r="BB32" s="316" t="str">
        <f t="shared" si="53"/>
        <v/>
      </c>
      <c r="BC32" s="316" t="str">
        <f t="shared" si="54"/>
        <v/>
      </c>
      <c r="BD32" s="316" t="str">
        <f t="shared" si="55"/>
        <v/>
      </c>
      <c r="BE32" s="316" t="str">
        <f t="shared" si="56"/>
        <v/>
      </c>
      <c r="BF32" s="316" t="str">
        <f t="shared" si="57"/>
        <v/>
      </c>
      <c r="BG32" s="316" t="str">
        <f t="shared" si="58"/>
        <v/>
      </c>
      <c r="BH32" s="317"/>
      <c r="BI32" s="318"/>
      <c r="BJ32" s="319" t="str">
        <f t="shared" si="59"/>
        <v>P</v>
      </c>
      <c r="BK32" s="317"/>
      <c r="BL32" s="316" t="str">
        <f t="shared" si="10"/>
        <v>P</v>
      </c>
      <c r="BM32" s="316" t="str">
        <f t="shared" si="11"/>
        <v/>
      </c>
      <c r="BN32" s="316" t="str">
        <f t="shared" si="12"/>
        <v/>
      </c>
      <c r="BO32" s="316" t="str">
        <f t="shared" si="13"/>
        <v/>
      </c>
      <c r="BP32" s="316" t="str">
        <f t="shared" si="14"/>
        <v/>
      </c>
      <c r="BQ32" s="316" t="str">
        <f t="shared" si="15"/>
        <v/>
      </c>
      <c r="BR32" s="316" t="str">
        <f t="shared" si="16"/>
        <v/>
      </c>
      <c r="BS32" s="316" t="str">
        <f t="shared" si="17"/>
        <v/>
      </c>
      <c r="BT32" s="317"/>
      <c r="BU32" s="316">
        <f t="shared" si="18"/>
        <v>1</v>
      </c>
      <c r="BV32" s="1042"/>
      <c r="BW32" s="316" t="str">
        <f t="shared" si="60"/>
        <v>X</v>
      </c>
      <c r="BX32" s="316"/>
      <c r="BY32" s="316"/>
      <c r="BZ32" s="316"/>
      <c r="CA32" s="316"/>
      <c r="CB32" s="316"/>
      <c r="CC32" s="316"/>
      <c r="CD32" s="316"/>
    </row>
    <row r="33" spans="1:82" s="295" customFormat="1" ht="24" customHeight="1">
      <c r="A33" s="747">
        <v>28</v>
      </c>
      <c r="B33" s="746" t="s">
        <v>1224</v>
      </c>
      <c r="C33" s="746" t="str">
        <f t="shared" si="61"/>
        <v>Santa Fe de Antioquia</v>
      </c>
      <c r="D33" s="746" t="s">
        <v>1222</v>
      </c>
      <c r="E33" s="746">
        <v>1</v>
      </c>
      <c r="F33" s="746">
        <v>3</v>
      </c>
      <c r="G33" s="746" t="s">
        <v>1192</v>
      </c>
      <c r="H33" s="746" t="s">
        <v>377</v>
      </c>
      <c r="I33" s="746">
        <v>15</v>
      </c>
      <c r="J33" s="746">
        <v>6</v>
      </c>
      <c r="K33" s="746">
        <v>3</v>
      </c>
      <c r="L33" s="746" t="s">
        <v>377</v>
      </c>
      <c r="M33" s="746" t="s">
        <v>1193</v>
      </c>
      <c r="N33" s="746">
        <v>7</v>
      </c>
      <c r="O33" s="293"/>
      <c r="P33" s="315" t="str">
        <f t="shared" si="19"/>
        <v>X</v>
      </c>
      <c r="Q33" s="316" t="str">
        <f t="shared" si="20"/>
        <v/>
      </c>
      <c r="R33" s="316" t="str">
        <f t="shared" si="21"/>
        <v/>
      </c>
      <c r="S33" s="316" t="str">
        <f t="shared" si="22"/>
        <v/>
      </c>
      <c r="T33" s="316" t="str">
        <f t="shared" si="23"/>
        <v/>
      </c>
      <c r="U33" s="316" t="str">
        <f t="shared" si="24"/>
        <v/>
      </c>
      <c r="V33" s="316" t="str">
        <f t="shared" si="25"/>
        <v/>
      </c>
      <c r="W33" s="316" t="str">
        <f t="shared" si="26"/>
        <v/>
      </c>
      <c r="X33" s="317"/>
      <c r="Y33" s="316">
        <f t="shared" si="27"/>
        <v>15</v>
      </c>
      <c r="Z33" s="316" t="str">
        <f t="shared" si="28"/>
        <v/>
      </c>
      <c r="AA33" s="316" t="str">
        <f t="shared" si="29"/>
        <v/>
      </c>
      <c r="AB33" s="316" t="str">
        <f t="shared" si="30"/>
        <v/>
      </c>
      <c r="AC33" s="316" t="str">
        <f t="shared" si="31"/>
        <v/>
      </c>
      <c r="AD33" s="316" t="str">
        <f t="shared" si="32"/>
        <v/>
      </c>
      <c r="AE33" s="316" t="str">
        <f t="shared" si="33"/>
        <v/>
      </c>
      <c r="AF33" s="316" t="str">
        <f t="shared" si="34"/>
        <v/>
      </c>
      <c r="AG33" s="317"/>
      <c r="AH33" s="316">
        <f t="shared" si="35"/>
        <v>6</v>
      </c>
      <c r="AI33" s="316" t="str">
        <f t="shared" si="36"/>
        <v/>
      </c>
      <c r="AJ33" s="316" t="str">
        <f t="shared" si="37"/>
        <v/>
      </c>
      <c r="AK33" s="316" t="str">
        <f t="shared" si="38"/>
        <v/>
      </c>
      <c r="AL33" s="316" t="str">
        <f t="shared" si="39"/>
        <v/>
      </c>
      <c r="AM33" s="316" t="str">
        <f t="shared" si="40"/>
        <v/>
      </c>
      <c r="AN33" s="316" t="str">
        <f t="shared" si="41"/>
        <v/>
      </c>
      <c r="AO33" s="316" t="str">
        <f t="shared" si="42"/>
        <v/>
      </c>
      <c r="AP33" s="317"/>
      <c r="AQ33" s="316" t="str">
        <f t="shared" si="43"/>
        <v/>
      </c>
      <c r="AR33" s="316" t="str">
        <f t="shared" si="44"/>
        <v/>
      </c>
      <c r="AS33" s="316" t="str">
        <f t="shared" si="45"/>
        <v/>
      </c>
      <c r="AT33" s="316" t="str">
        <f t="shared" si="46"/>
        <v/>
      </c>
      <c r="AU33" s="316" t="str">
        <f t="shared" si="47"/>
        <v/>
      </c>
      <c r="AV33" s="316" t="str">
        <f t="shared" si="48"/>
        <v/>
      </c>
      <c r="AW33" s="316" t="str">
        <f t="shared" si="49"/>
        <v/>
      </c>
      <c r="AX33" s="316" t="str">
        <f t="shared" si="50"/>
        <v/>
      </c>
      <c r="AY33" s="317"/>
      <c r="AZ33" s="316">
        <f t="shared" si="51"/>
        <v>3</v>
      </c>
      <c r="BA33" s="316" t="str">
        <f t="shared" si="52"/>
        <v/>
      </c>
      <c r="BB33" s="316" t="str">
        <f t="shared" si="53"/>
        <v/>
      </c>
      <c r="BC33" s="316" t="str">
        <f t="shared" si="54"/>
        <v/>
      </c>
      <c r="BD33" s="316" t="str">
        <f t="shared" si="55"/>
        <v/>
      </c>
      <c r="BE33" s="316" t="str">
        <f t="shared" si="56"/>
        <v/>
      </c>
      <c r="BF33" s="316" t="str">
        <f t="shared" si="57"/>
        <v/>
      </c>
      <c r="BG33" s="316" t="str">
        <f t="shared" si="58"/>
        <v/>
      </c>
      <c r="BH33" s="317"/>
      <c r="BI33" s="318"/>
      <c r="BJ33" s="319" t="str">
        <f t="shared" si="59"/>
        <v>P</v>
      </c>
      <c r="BK33" s="317"/>
      <c r="BL33" s="316" t="str">
        <f t="shared" si="10"/>
        <v>P</v>
      </c>
      <c r="BM33" s="316" t="str">
        <f t="shared" si="11"/>
        <v/>
      </c>
      <c r="BN33" s="316" t="str">
        <f t="shared" si="12"/>
        <v/>
      </c>
      <c r="BO33" s="316" t="str">
        <f t="shared" si="13"/>
        <v/>
      </c>
      <c r="BP33" s="316" t="str">
        <f t="shared" si="14"/>
        <v/>
      </c>
      <c r="BQ33" s="316" t="str">
        <f t="shared" si="15"/>
        <v/>
      </c>
      <c r="BR33" s="316" t="str">
        <f t="shared" si="16"/>
        <v/>
      </c>
      <c r="BS33" s="316" t="str">
        <f t="shared" si="17"/>
        <v/>
      </c>
      <c r="BT33" s="317"/>
      <c r="BU33" s="316">
        <f t="shared" si="18"/>
        <v>1</v>
      </c>
      <c r="BV33" s="1042"/>
      <c r="BW33" s="316" t="str">
        <f t="shared" si="60"/>
        <v>X</v>
      </c>
      <c r="BX33" s="316"/>
      <c r="BY33" s="316"/>
      <c r="BZ33" s="316"/>
      <c r="CA33" s="316"/>
      <c r="CB33" s="316"/>
      <c r="CC33" s="316"/>
      <c r="CD33" s="316"/>
    </row>
    <row r="34" spans="1:82" s="295" customFormat="1" ht="24" customHeight="1">
      <c r="A34" s="747">
        <v>29</v>
      </c>
      <c r="B34" s="746" t="s">
        <v>1225</v>
      </c>
      <c r="C34" s="746" t="str">
        <f t="shared" si="61"/>
        <v>Santa Fe de Antioquia</v>
      </c>
      <c r="D34" s="746" t="s">
        <v>1222</v>
      </c>
      <c r="E34" s="746">
        <v>1</v>
      </c>
      <c r="F34" s="746">
        <v>3</v>
      </c>
      <c r="G34" s="746" t="s">
        <v>1192</v>
      </c>
      <c r="H34" s="746" t="s">
        <v>377</v>
      </c>
      <c r="I34" s="746">
        <v>18</v>
      </c>
      <c r="J34" s="746">
        <v>6</v>
      </c>
      <c r="K34" s="746">
        <v>3</v>
      </c>
      <c r="L34" s="746" t="s">
        <v>377</v>
      </c>
      <c r="M34" s="746" t="s">
        <v>1193</v>
      </c>
      <c r="N34" s="746">
        <v>7</v>
      </c>
      <c r="O34" s="293"/>
      <c r="P34" s="315" t="str">
        <f t="shared" si="19"/>
        <v>X</v>
      </c>
      <c r="Q34" s="316" t="str">
        <f t="shared" si="20"/>
        <v/>
      </c>
      <c r="R34" s="316" t="str">
        <f t="shared" si="21"/>
        <v/>
      </c>
      <c r="S34" s="316" t="str">
        <f t="shared" si="22"/>
        <v/>
      </c>
      <c r="T34" s="316" t="str">
        <f t="shared" si="23"/>
        <v/>
      </c>
      <c r="U34" s="316" t="str">
        <f t="shared" si="24"/>
        <v/>
      </c>
      <c r="V34" s="316" t="str">
        <f t="shared" si="25"/>
        <v/>
      </c>
      <c r="W34" s="316" t="str">
        <f t="shared" si="26"/>
        <v/>
      </c>
      <c r="X34" s="317"/>
      <c r="Y34" s="316">
        <f t="shared" si="27"/>
        <v>18</v>
      </c>
      <c r="Z34" s="316" t="str">
        <f t="shared" si="28"/>
        <v/>
      </c>
      <c r="AA34" s="316" t="str">
        <f t="shared" si="29"/>
        <v/>
      </c>
      <c r="AB34" s="316" t="str">
        <f t="shared" si="30"/>
        <v/>
      </c>
      <c r="AC34" s="316" t="str">
        <f t="shared" si="31"/>
        <v/>
      </c>
      <c r="AD34" s="316" t="str">
        <f t="shared" si="32"/>
        <v/>
      </c>
      <c r="AE34" s="316" t="str">
        <f t="shared" si="33"/>
        <v/>
      </c>
      <c r="AF34" s="316" t="str">
        <f t="shared" si="34"/>
        <v/>
      </c>
      <c r="AG34" s="317"/>
      <c r="AH34" s="316">
        <f t="shared" si="35"/>
        <v>6</v>
      </c>
      <c r="AI34" s="316" t="str">
        <f t="shared" si="36"/>
        <v/>
      </c>
      <c r="AJ34" s="316" t="str">
        <f t="shared" si="37"/>
        <v/>
      </c>
      <c r="AK34" s="316" t="str">
        <f t="shared" si="38"/>
        <v/>
      </c>
      <c r="AL34" s="316" t="str">
        <f t="shared" si="39"/>
        <v/>
      </c>
      <c r="AM34" s="316" t="str">
        <f t="shared" si="40"/>
        <v/>
      </c>
      <c r="AN34" s="316" t="str">
        <f t="shared" si="41"/>
        <v/>
      </c>
      <c r="AO34" s="316" t="str">
        <f t="shared" si="42"/>
        <v/>
      </c>
      <c r="AP34" s="317"/>
      <c r="AQ34" s="316" t="str">
        <f t="shared" si="43"/>
        <v/>
      </c>
      <c r="AR34" s="316" t="str">
        <f t="shared" si="44"/>
        <v/>
      </c>
      <c r="AS34" s="316" t="str">
        <f t="shared" si="45"/>
        <v/>
      </c>
      <c r="AT34" s="316" t="str">
        <f t="shared" si="46"/>
        <v/>
      </c>
      <c r="AU34" s="316" t="str">
        <f t="shared" si="47"/>
        <v/>
      </c>
      <c r="AV34" s="316" t="str">
        <f t="shared" si="48"/>
        <v/>
      </c>
      <c r="AW34" s="316" t="str">
        <f t="shared" si="49"/>
        <v/>
      </c>
      <c r="AX34" s="316" t="str">
        <f t="shared" si="50"/>
        <v/>
      </c>
      <c r="AY34" s="317"/>
      <c r="AZ34" s="316">
        <f t="shared" si="51"/>
        <v>3</v>
      </c>
      <c r="BA34" s="316" t="str">
        <f t="shared" si="52"/>
        <v/>
      </c>
      <c r="BB34" s="316" t="str">
        <f t="shared" si="53"/>
        <v/>
      </c>
      <c r="BC34" s="316" t="str">
        <f t="shared" si="54"/>
        <v/>
      </c>
      <c r="BD34" s="316" t="str">
        <f t="shared" si="55"/>
        <v/>
      </c>
      <c r="BE34" s="316" t="str">
        <f t="shared" si="56"/>
        <v/>
      </c>
      <c r="BF34" s="316" t="str">
        <f t="shared" si="57"/>
        <v/>
      </c>
      <c r="BG34" s="316" t="str">
        <f t="shared" si="58"/>
        <v/>
      </c>
      <c r="BH34" s="317"/>
      <c r="BI34" s="318"/>
      <c r="BJ34" s="319" t="str">
        <f t="shared" si="59"/>
        <v>P</v>
      </c>
      <c r="BK34" s="317"/>
      <c r="BL34" s="316" t="str">
        <f t="shared" si="10"/>
        <v>P</v>
      </c>
      <c r="BM34" s="316" t="str">
        <f t="shared" si="11"/>
        <v/>
      </c>
      <c r="BN34" s="316" t="str">
        <f t="shared" si="12"/>
        <v/>
      </c>
      <c r="BO34" s="316" t="str">
        <f t="shared" si="13"/>
        <v/>
      </c>
      <c r="BP34" s="316" t="str">
        <f t="shared" si="14"/>
        <v/>
      </c>
      <c r="BQ34" s="316" t="str">
        <f t="shared" si="15"/>
        <v/>
      </c>
      <c r="BR34" s="316" t="str">
        <f t="shared" si="16"/>
        <v/>
      </c>
      <c r="BS34" s="316" t="str">
        <f t="shared" si="17"/>
        <v/>
      </c>
      <c r="BT34" s="317"/>
      <c r="BU34" s="316">
        <f t="shared" si="18"/>
        <v>1</v>
      </c>
      <c r="BV34" s="1042"/>
      <c r="BW34" s="316" t="str">
        <f t="shared" si="60"/>
        <v>X</v>
      </c>
      <c r="BX34" s="316"/>
      <c r="BY34" s="316"/>
      <c r="BZ34" s="316"/>
      <c r="CA34" s="316"/>
      <c r="CB34" s="316"/>
      <c r="CC34" s="316"/>
      <c r="CD34" s="316"/>
    </row>
    <row r="35" spans="1:82" s="295" customFormat="1" ht="24" customHeight="1">
      <c r="A35" s="747">
        <v>30</v>
      </c>
      <c r="B35" s="746" t="s">
        <v>1226</v>
      </c>
      <c r="C35" s="746" t="str">
        <f t="shared" si="61"/>
        <v>Santa Fe de Antioquia</v>
      </c>
      <c r="D35" s="746" t="s">
        <v>1227</v>
      </c>
      <c r="E35" s="746">
        <v>1</v>
      </c>
      <c r="F35" s="746">
        <v>3</v>
      </c>
      <c r="G35" s="746" t="s">
        <v>1192</v>
      </c>
      <c r="H35" s="746" t="s">
        <v>377</v>
      </c>
      <c r="I35" s="746">
        <v>15</v>
      </c>
      <c r="J35" s="746">
        <v>6</v>
      </c>
      <c r="K35" s="746">
        <v>3</v>
      </c>
      <c r="L35" s="746" t="s">
        <v>377</v>
      </c>
      <c r="M35" s="746" t="s">
        <v>1193</v>
      </c>
      <c r="N35" s="746">
        <v>20</v>
      </c>
      <c r="O35" s="293"/>
      <c r="P35" s="315" t="str">
        <f t="shared" si="19"/>
        <v>X</v>
      </c>
      <c r="Q35" s="316" t="str">
        <f t="shared" si="20"/>
        <v/>
      </c>
      <c r="R35" s="316" t="str">
        <f t="shared" si="21"/>
        <v/>
      </c>
      <c r="S35" s="316" t="str">
        <f t="shared" si="22"/>
        <v/>
      </c>
      <c r="T35" s="316" t="str">
        <f t="shared" si="23"/>
        <v/>
      </c>
      <c r="U35" s="316" t="str">
        <f t="shared" si="24"/>
        <v/>
      </c>
      <c r="V35" s="316" t="str">
        <f t="shared" si="25"/>
        <v/>
      </c>
      <c r="W35" s="316" t="str">
        <f t="shared" si="26"/>
        <v/>
      </c>
      <c r="X35" s="317"/>
      <c r="Y35" s="316">
        <f>IF(P35="X",$I35,"")</f>
        <v>15</v>
      </c>
      <c r="Z35" s="316" t="str">
        <f t="shared" si="28"/>
        <v/>
      </c>
      <c r="AA35" s="316" t="str">
        <f t="shared" si="29"/>
        <v/>
      </c>
      <c r="AB35" s="316" t="str">
        <f t="shared" si="30"/>
        <v/>
      </c>
      <c r="AC35" s="316" t="str">
        <f t="shared" si="31"/>
        <v/>
      </c>
      <c r="AD35" s="316" t="str">
        <f t="shared" si="32"/>
        <v/>
      </c>
      <c r="AE35" s="316" t="str">
        <f t="shared" si="33"/>
        <v/>
      </c>
      <c r="AF35" s="316" t="str">
        <f t="shared" si="34"/>
        <v/>
      </c>
      <c r="AG35" s="317"/>
      <c r="AH35" s="316">
        <f>IF(P35="X",$J35,"")</f>
        <v>6</v>
      </c>
      <c r="AI35" s="316" t="str">
        <f t="shared" si="36"/>
        <v/>
      </c>
      <c r="AJ35" s="316" t="str">
        <f t="shared" si="37"/>
        <v/>
      </c>
      <c r="AK35" s="316" t="str">
        <f t="shared" si="38"/>
        <v/>
      </c>
      <c r="AL35" s="316" t="str">
        <f t="shared" si="39"/>
        <v/>
      </c>
      <c r="AM35" s="316" t="str">
        <f t="shared" si="40"/>
        <v/>
      </c>
      <c r="AN35" s="316" t="str">
        <f t="shared" si="41"/>
        <v/>
      </c>
      <c r="AO35" s="316" t="str">
        <f t="shared" si="42"/>
        <v/>
      </c>
      <c r="AP35" s="317"/>
      <c r="AQ35" s="316" t="str">
        <f t="shared" si="43"/>
        <v/>
      </c>
      <c r="AR35" s="316" t="str">
        <f t="shared" si="44"/>
        <v/>
      </c>
      <c r="AS35" s="316" t="str">
        <f t="shared" si="45"/>
        <v/>
      </c>
      <c r="AT35" s="316" t="str">
        <f t="shared" si="46"/>
        <v/>
      </c>
      <c r="AU35" s="316" t="str">
        <f t="shared" si="47"/>
        <v/>
      </c>
      <c r="AV35" s="316" t="str">
        <f t="shared" si="48"/>
        <v/>
      </c>
      <c r="AW35" s="316" t="str">
        <f t="shared" si="49"/>
        <v/>
      </c>
      <c r="AX35" s="316" t="str">
        <f t="shared" si="50"/>
        <v/>
      </c>
      <c r="AY35" s="317"/>
      <c r="AZ35" s="316">
        <f>IF(AND(P35="X",$BJ35="P"),$K35,"")</f>
        <v>3</v>
      </c>
      <c r="BA35" s="316" t="str">
        <f t="shared" si="52"/>
        <v/>
      </c>
      <c r="BB35" s="316" t="str">
        <f t="shared" si="53"/>
        <v/>
      </c>
      <c r="BC35" s="316" t="str">
        <f t="shared" si="54"/>
        <v/>
      </c>
      <c r="BD35" s="316" t="str">
        <f t="shared" si="55"/>
        <v/>
      </c>
      <c r="BE35" s="316" t="str">
        <f t="shared" si="56"/>
        <v/>
      </c>
      <c r="BF35" s="316" t="str">
        <f t="shared" si="57"/>
        <v/>
      </c>
      <c r="BG35" s="316" t="str">
        <f t="shared" si="58"/>
        <v/>
      </c>
      <c r="BH35" s="317"/>
      <c r="BI35" s="318"/>
      <c r="BJ35" s="319" t="str">
        <f>IF(L35="","",IF(L35="SI","P","F"))</f>
        <v>P</v>
      </c>
      <c r="BK35" s="317"/>
      <c r="BL35" s="316" t="str">
        <f t="shared" si="10"/>
        <v>P</v>
      </c>
      <c r="BM35" s="316" t="str">
        <f t="shared" si="11"/>
        <v/>
      </c>
      <c r="BN35" s="316" t="str">
        <f t="shared" si="12"/>
        <v/>
      </c>
      <c r="BO35" s="316" t="str">
        <f t="shared" si="13"/>
        <v/>
      </c>
      <c r="BP35" s="316" t="str">
        <f t="shared" si="14"/>
        <v/>
      </c>
      <c r="BQ35" s="316" t="str">
        <f t="shared" si="15"/>
        <v/>
      </c>
      <c r="BR35" s="316" t="str">
        <f t="shared" si="16"/>
        <v/>
      </c>
      <c r="BS35" s="316" t="str">
        <f t="shared" si="17"/>
        <v/>
      </c>
      <c r="BT35" s="317"/>
      <c r="BU35" s="316">
        <f t="shared" si="18"/>
        <v>1</v>
      </c>
      <c r="BV35" s="1042"/>
      <c r="BW35" s="316" t="str">
        <f t="shared" si="60"/>
        <v>X</v>
      </c>
      <c r="BX35" s="316"/>
      <c r="BY35" s="316"/>
      <c r="BZ35" s="316"/>
      <c r="CA35" s="316"/>
      <c r="CB35" s="316"/>
      <c r="CC35" s="316"/>
      <c r="CD35" s="316"/>
    </row>
    <row r="36" spans="1:82" s="292" customFormat="1" ht="15.75" customHeight="1">
      <c r="A36" s="331"/>
      <c r="B36" s="335"/>
      <c r="C36" s="332"/>
      <c r="D36" s="332"/>
      <c r="E36" s="745">
        <f>+SUM(E6:E35)</f>
        <v>30</v>
      </c>
      <c r="F36" s="745">
        <f>+SUM(F6:F35)</f>
        <v>156</v>
      </c>
      <c r="G36" s="332" t="s">
        <v>378</v>
      </c>
      <c r="H36" s="332"/>
      <c r="I36" s="333">
        <f>SUM(I6:I6)</f>
        <v>11</v>
      </c>
      <c r="J36" s="333">
        <f>SUM(J6:J6)</f>
        <v>6</v>
      </c>
      <c r="K36" s="332">
        <f>SUM(K6:K6)</f>
        <v>3</v>
      </c>
      <c r="L36" s="334"/>
      <c r="M36" s="335"/>
      <c r="N36" s="875"/>
      <c r="P36" s="320">
        <f>COUNTIF('FICHAS '!P6:P35,"X")</f>
        <v>29</v>
      </c>
      <c r="Q36" s="320">
        <f>COUNTIF(Q6:Q35,"X")</f>
        <v>0</v>
      </c>
      <c r="R36" s="320">
        <f>COUNTIF('FICHAS '!R6:R35,"X")</f>
        <v>0</v>
      </c>
      <c r="S36" s="320">
        <f>COUNTIF('FICHAS '!S6:S35,"X")</f>
        <v>0</v>
      </c>
      <c r="T36" s="320">
        <f>COUNTIF('FICHAS '!T6:T35,"X")</f>
        <v>0</v>
      </c>
      <c r="U36" s="320">
        <f>COUNTIF('FICHAS '!U6:U35,"X")</f>
        <v>1</v>
      </c>
      <c r="V36" s="320">
        <f>COUNTIF('FICHAS '!V6:V35,"X")</f>
        <v>0</v>
      </c>
      <c r="W36" s="320">
        <f>COUNTIF('FICHAS '!W6:W35,"X")</f>
        <v>0</v>
      </c>
      <c r="X36" s="321"/>
      <c r="Y36" s="317">
        <f t="shared" ref="Y36:AF36" si="62">SUM(Y6:Y35)</f>
        <v>393</v>
      </c>
      <c r="Z36" s="317">
        <f t="shared" si="62"/>
        <v>0</v>
      </c>
      <c r="AA36" s="317">
        <f t="shared" si="62"/>
        <v>0</v>
      </c>
      <c r="AB36" s="317">
        <f t="shared" si="62"/>
        <v>0</v>
      </c>
      <c r="AC36" s="317">
        <f t="shared" si="62"/>
        <v>0</v>
      </c>
      <c r="AD36" s="317">
        <f t="shared" si="62"/>
        <v>50</v>
      </c>
      <c r="AE36" s="317">
        <f t="shared" si="62"/>
        <v>0</v>
      </c>
      <c r="AF36" s="317">
        <f t="shared" si="62"/>
        <v>0</v>
      </c>
      <c r="AG36" s="317"/>
      <c r="AH36" s="317">
        <f t="shared" ref="AH36:AO36" si="63">SUM(AH6:AH35)</f>
        <v>226</v>
      </c>
      <c r="AI36" s="317">
        <f t="shared" si="63"/>
        <v>0</v>
      </c>
      <c r="AJ36" s="317">
        <f t="shared" si="63"/>
        <v>0</v>
      </c>
      <c r="AK36" s="317">
        <f t="shared" si="63"/>
        <v>0</v>
      </c>
      <c r="AL36" s="317">
        <f t="shared" si="63"/>
        <v>0</v>
      </c>
      <c r="AM36" s="317">
        <f t="shared" si="63"/>
        <v>20</v>
      </c>
      <c r="AN36" s="317">
        <f t="shared" si="63"/>
        <v>0</v>
      </c>
      <c r="AO36" s="317">
        <f t="shared" si="63"/>
        <v>0</v>
      </c>
      <c r="AP36" s="321"/>
      <c r="AQ36" s="320">
        <f t="shared" ref="AQ36:AX36" si="64">SUM(AQ6:AQ35)</f>
        <v>0</v>
      </c>
      <c r="AR36" s="320">
        <f t="shared" si="64"/>
        <v>0</v>
      </c>
      <c r="AS36" s="320">
        <f t="shared" si="64"/>
        <v>0</v>
      </c>
      <c r="AT36" s="320">
        <f t="shared" si="64"/>
        <v>0</v>
      </c>
      <c r="AU36" s="320">
        <f t="shared" si="64"/>
        <v>0</v>
      </c>
      <c r="AV36" s="320">
        <f t="shared" si="64"/>
        <v>0</v>
      </c>
      <c r="AW36" s="320">
        <f t="shared" si="64"/>
        <v>0</v>
      </c>
      <c r="AX36" s="320">
        <f t="shared" si="64"/>
        <v>0</v>
      </c>
      <c r="AY36" s="320"/>
      <c r="AZ36" s="322">
        <f t="shared" ref="AZ36:BG36" si="65">SUM(AZ6:AZ35)</f>
        <v>286</v>
      </c>
      <c r="BA36" s="322">
        <f t="shared" si="65"/>
        <v>0</v>
      </c>
      <c r="BB36" s="322">
        <f t="shared" si="65"/>
        <v>0</v>
      </c>
      <c r="BC36" s="322">
        <f t="shared" si="65"/>
        <v>0</v>
      </c>
      <c r="BD36" s="322">
        <f t="shared" si="65"/>
        <v>0</v>
      </c>
      <c r="BE36" s="322">
        <f t="shared" si="65"/>
        <v>30</v>
      </c>
      <c r="BF36" s="322">
        <f t="shared" si="65"/>
        <v>0</v>
      </c>
      <c r="BG36" s="322">
        <f t="shared" si="65"/>
        <v>0</v>
      </c>
      <c r="BH36" s="320"/>
      <c r="BI36" s="321" t="s">
        <v>379</v>
      </c>
      <c r="BJ36" s="320">
        <f>COUNTIF(BJ6:BJ35,"F")</f>
        <v>0</v>
      </c>
      <c r="BK36" s="321"/>
      <c r="BL36" s="320">
        <f t="shared" ref="BL36:BS36" si="66">COUNTIF(BL6:BL35,"F")</f>
        <v>0</v>
      </c>
      <c r="BM36" s="320">
        <f t="shared" si="66"/>
        <v>0</v>
      </c>
      <c r="BN36" s="320">
        <f t="shared" si="66"/>
        <v>0</v>
      </c>
      <c r="BO36" s="320">
        <f t="shared" si="66"/>
        <v>0</v>
      </c>
      <c r="BP36" s="320">
        <f t="shared" si="66"/>
        <v>0</v>
      </c>
      <c r="BQ36" s="320">
        <f t="shared" si="66"/>
        <v>0</v>
      </c>
      <c r="BR36" s="320">
        <f t="shared" si="66"/>
        <v>0</v>
      </c>
      <c r="BS36" s="320">
        <f t="shared" si="66"/>
        <v>0</v>
      </c>
      <c r="BT36" s="323"/>
      <c r="BU36" s="332">
        <f>SUM(BU6:BU35)</f>
        <v>29</v>
      </c>
      <c r="BV36" s="321"/>
      <c r="BW36" s="332">
        <f t="shared" ref="BW36:CD36" si="67">COUNTIF(BW6:BW35,"X")</f>
        <v>29</v>
      </c>
      <c r="BX36" s="332">
        <f t="shared" si="67"/>
        <v>0</v>
      </c>
      <c r="BY36" s="332">
        <f t="shared" si="67"/>
        <v>0</v>
      </c>
      <c r="BZ36" s="332">
        <f t="shared" si="67"/>
        <v>0</v>
      </c>
      <c r="CA36" s="332">
        <f t="shared" si="67"/>
        <v>0</v>
      </c>
      <c r="CB36" s="332">
        <f t="shared" si="67"/>
        <v>1</v>
      </c>
      <c r="CC36" s="332">
        <f t="shared" si="67"/>
        <v>0</v>
      </c>
      <c r="CD36" s="332">
        <f t="shared" si="67"/>
        <v>0</v>
      </c>
    </row>
    <row r="37" spans="1:82">
      <c r="A37" s="331"/>
      <c r="B37" s="323"/>
      <c r="C37" s="318"/>
      <c r="D37" s="318"/>
      <c r="E37" s="328"/>
      <c r="F37" s="323"/>
      <c r="G37" s="318"/>
      <c r="H37" s="318"/>
      <c r="I37" s="336"/>
      <c r="J37" s="336"/>
      <c r="K37" s="338" t="e">
        <f>+#REF!-K36</f>
        <v>#REF!</v>
      </c>
      <c r="L37" s="339" t="e">
        <f>+#REF!-K36</f>
        <v>#REF!</v>
      </c>
      <c r="M37" s="704" t="s">
        <v>380</v>
      </c>
      <c r="N37" s="702">
        <f>AVERAGE(N6:N35)</f>
        <v>27.756666666666668</v>
      </c>
      <c r="P37" s="323" t="s">
        <v>833</v>
      </c>
      <c r="Q37" s="324">
        <f>SUM(P36)</f>
        <v>29</v>
      </c>
      <c r="R37" s="324"/>
      <c r="S37" s="324"/>
      <c r="T37" s="324"/>
      <c r="U37" s="324"/>
      <c r="V37" s="320"/>
      <c r="W37" s="320"/>
      <c r="X37" s="323"/>
      <c r="Y37" s="325">
        <f t="shared" ref="Y37:AF37" si="68">IF(Y36=0,0,(AVERAGE(Y6:Y35)))</f>
        <v>13.551724137931034</v>
      </c>
      <c r="Z37" s="325">
        <f t="shared" si="68"/>
        <v>0</v>
      </c>
      <c r="AA37" s="325">
        <f t="shared" si="68"/>
        <v>0</v>
      </c>
      <c r="AB37" s="325">
        <f t="shared" si="68"/>
        <v>0</v>
      </c>
      <c r="AC37" s="325">
        <f t="shared" si="68"/>
        <v>0</v>
      </c>
      <c r="AD37" s="325">
        <f t="shared" si="68"/>
        <v>50</v>
      </c>
      <c r="AE37" s="325">
        <f t="shared" si="68"/>
        <v>0</v>
      </c>
      <c r="AF37" s="325">
        <f t="shared" si="68"/>
        <v>0</v>
      </c>
      <c r="AG37" s="326"/>
      <c r="AH37" s="325">
        <f t="shared" ref="AH37:AO37" si="69">IF(AH36=0,0,(AVERAGE(AH6:AH35)))</f>
        <v>7.7931034482758621</v>
      </c>
      <c r="AI37" s="325">
        <f t="shared" si="69"/>
        <v>0</v>
      </c>
      <c r="AJ37" s="325">
        <f t="shared" si="69"/>
        <v>0</v>
      </c>
      <c r="AK37" s="325">
        <f t="shared" si="69"/>
        <v>0</v>
      </c>
      <c r="AL37" s="325">
        <f t="shared" si="69"/>
        <v>0</v>
      </c>
      <c r="AM37" s="325">
        <f t="shared" si="69"/>
        <v>20</v>
      </c>
      <c r="AN37" s="325">
        <f t="shared" si="69"/>
        <v>0</v>
      </c>
      <c r="AO37" s="325">
        <f t="shared" si="69"/>
        <v>0</v>
      </c>
      <c r="AP37" s="326"/>
      <c r="AQ37" s="325">
        <f t="shared" ref="AQ37:AX37" si="70">IF(AQ36=0,0,(AVERAGE(AQ6:AQ35)))</f>
        <v>0</v>
      </c>
      <c r="AR37" s="325">
        <f t="shared" si="70"/>
        <v>0</v>
      </c>
      <c r="AS37" s="325">
        <f t="shared" si="70"/>
        <v>0</v>
      </c>
      <c r="AT37" s="325">
        <f t="shared" si="70"/>
        <v>0</v>
      </c>
      <c r="AU37" s="325">
        <f t="shared" si="70"/>
        <v>0</v>
      </c>
      <c r="AV37" s="325">
        <f t="shared" si="70"/>
        <v>0</v>
      </c>
      <c r="AW37" s="325">
        <f t="shared" si="70"/>
        <v>0</v>
      </c>
      <c r="AX37" s="325">
        <f t="shared" si="70"/>
        <v>0</v>
      </c>
      <c r="AY37" s="326"/>
      <c r="AZ37" s="325">
        <f t="shared" ref="AZ37:BG37" si="71">IF(AZ36=0,0,(AVERAGE(AZ6:AZ35)))</f>
        <v>9.862068965517242</v>
      </c>
      <c r="BA37" s="325">
        <f t="shared" si="71"/>
        <v>0</v>
      </c>
      <c r="BB37" s="325">
        <f t="shared" si="71"/>
        <v>0</v>
      </c>
      <c r="BC37" s="325">
        <f t="shared" si="71"/>
        <v>0</v>
      </c>
      <c r="BD37" s="325">
        <f t="shared" si="71"/>
        <v>0</v>
      </c>
      <c r="BE37" s="325">
        <f t="shared" si="71"/>
        <v>30</v>
      </c>
      <c r="BF37" s="325">
        <f t="shared" si="71"/>
        <v>0</v>
      </c>
      <c r="BG37" s="325">
        <f t="shared" si="71"/>
        <v>0</v>
      </c>
      <c r="BH37" s="327"/>
      <c r="BI37" s="323" t="s">
        <v>381</v>
      </c>
      <c r="BJ37" s="320">
        <f>COUNTIF(BJ6:BJ35,"P")</f>
        <v>30</v>
      </c>
      <c r="BK37" s="323"/>
      <c r="BL37" s="320">
        <f t="shared" ref="BL37:BS37" si="72">COUNTIF(BL6:BL35,"P")</f>
        <v>29</v>
      </c>
      <c r="BM37" s="320">
        <f t="shared" si="72"/>
        <v>0</v>
      </c>
      <c r="BN37" s="320">
        <f t="shared" si="72"/>
        <v>0</v>
      </c>
      <c r="BO37" s="320">
        <f t="shared" si="72"/>
        <v>0</v>
      </c>
      <c r="BP37" s="320">
        <f t="shared" si="72"/>
        <v>0</v>
      </c>
      <c r="BQ37" s="320">
        <f t="shared" si="72"/>
        <v>1</v>
      </c>
      <c r="BR37" s="320">
        <f t="shared" si="72"/>
        <v>0</v>
      </c>
      <c r="BS37" s="320">
        <f t="shared" si="72"/>
        <v>0</v>
      </c>
      <c r="BT37" s="328"/>
      <c r="BU37" s="323"/>
      <c r="BV37" s="323"/>
      <c r="BW37" s="323"/>
      <c r="BX37" s="323"/>
      <c r="BY37" s="323"/>
      <c r="BZ37" s="323"/>
      <c r="CA37" s="323"/>
      <c r="CB37" s="323"/>
      <c r="CC37" s="323"/>
      <c r="CD37" s="323"/>
    </row>
    <row r="38" spans="1:82" s="297" customFormat="1">
      <c r="A38" s="331"/>
      <c r="B38" s="340" t="s">
        <v>382</v>
      </c>
      <c r="C38" s="341"/>
      <c r="D38" s="340"/>
      <c r="E38" s="328"/>
      <c r="F38" s="341"/>
      <c r="G38" s="342"/>
      <c r="H38" s="342"/>
      <c r="I38" s="343"/>
      <c r="J38" s="343"/>
      <c r="K38" s="327"/>
      <c r="L38" s="328"/>
      <c r="M38" s="328"/>
      <c r="N38" s="328"/>
      <c r="P38" s="320" t="s">
        <v>834</v>
      </c>
      <c r="Q38" s="320">
        <f>+SUM(Q36:W36)</f>
        <v>1</v>
      </c>
      <c r="R38" s="320"/>
      <c r="S38" s="320"/>
      <c r="T38" s="320"/>
      <c r="U38" s="320"/>
      <c r="V38" s="321"/>
      <c r="W38" s="321"/>
      <c r="X38" s="320"/>
      <c r="Y38" s="320"/>
      <c r="Z38" s="320"/>
      <c r="AA38" s="320"/>
      <c r="AB38" s="320"/>
      <c r="AC38" s="320"/>
      <c r="AD38" s="321"/>
      <c r="AE38" s="320"/>
      <c r="AF38" s="320"/>
      <c r="AG38" s="320"/>
      <c r="AH38" s="320"/>
      <c r="AI38" s="320"/>
      <c r="AJ38" s="320"/>
      <c r="AK38" s="320"/>
      <c r="AL38" s="320"/>
      <c r="AM38" s="320"/>
      <c r="AN38" s="320"/>
      <c r="AO38" s="320"/>
      <c r="AP38" s="320"/>
      <c r="AQ38" s="320"/>
      <c r="AR38" s="320"/>
      <c r="AS38" s="320"/>
      <c r="AT38" s="320"/>
      <c r="AU38" s="321"/>
      <c r="AV38" s="320"/>
      <c r="AW38" s="321"/>
      <c r="AX38" s="321"/>
      <c r="AY38" s="321"/>
      <c r="AZ38" s="321"/>
      <c r="BA38" s="321"/>
      <c r="BB38" s="321"/>
      <c r="BC38" s="321"/>
      <c r="BD38" s="321"/>
      <c r="BE38" s="321"/>
      <c r="BF38" s="321"/>
      <c r="BG38" s="321"/>
      <c r="BH38" s="321"/>
      <c r="BI38" s="320"/>
      <c r="BJ38" s="320"/>
      <c r="BK38" s="320"/>
      <c r="BL38" s="320"/>
      <c r="BM38" s="320"/>
      <c r="BN38" s="320"/>
      <c r="BO38" s="321"/>
      <c r="BP38" s="321"/>
      <c r="BQ38" s="320"/>
      <c r="BR38" s="328"/>
      <c r="BS38" s="328"/>
      <c r="BT38" s="328"/>
      <c r="BU38" s="328"/>
      <c r="BV38" s="328"/>
      <c r="BW38" s="328"/>
      <c r="BX38" s="328"/>
      <c r="BY38" s="328"/>
      <c r="BZ38" s="328"/>
      <c r="CA38" s="328"/>
      <c r="CB38" s="328"/>
      <c r="CC38" s="328"/>
      <c r="CD38" s="328"/>
    </row>
    <row r="39" spans="1:82" s="297" customFormat="1">
      <c r="A39" s="331"/>
      <c r="B39" s="340"/>
      <c r="C39" s="341"/>
      <c r="D39" s="340"/>
      <c r="E39" s="328"/>
      <c r="F39" s="341"/>
      <c r="G39" s="342"/>
      <c r="H39" s="342"/>
      <c r="I39" s="344" t="s">
        <v>382</v>
      </c>
      <c r="J39" s="344"/>
      <c r="K39" s="327"/>
      <c r="L39" s="328"/>
      <c r="M39" s="328" t="s">
        <v>170</v>
      </c>
      <c r="N39" s="328"/>
      <c r="P39" s="321"/>
      <c r="Q39" s="321"/>
      <c r="R39" s="321"/>
      <c r="S39" s="321"/>
      <c r="T39" s="321"/>
      <c r="U39" s="321"/>
      <c r="V39" s="321"/>
      <c r="W39" s="321"/>
      <c r="X39" s="326"/>
      <c r="Y39" s="326"/>
      <c r="Z39" s="326"/>
      <c r="AA39" s="326"/>
      <c r="AB39" s="326"/>
      <c r="AC39" s="326"/>
      <c r="AD39" s="321"/>
      <c r="AE39" s="329"/>
      <c r="AF39" s="329"/>
      <c r="AG39" s="329"/>
      <c r="AH39" s="329"/>
      <c r="AI39" s="329"/>
      <c r="AJ39" s="329"/>
      <c r="AK39" s="329"/>
      <c r="AL39" s="329"/>
      <c r="AM39" s="329"/>
      <c r="AN39" s="329"/>
      <c r="AO39" s="329"/>
      <c r="AP39" s="329"/>
      <c r="AQ39" s="329"/>
      <c r="AR39" s="329"/>
      <c r="AS39" s="329"/>
      <c r="AT39" s="329"/>
      <c r="AU39" s="321"/>
      <c r="AV39" s="320"/>
      <c r="AW39" s="321"/>
      <c r="AX39" s="321"/>
      <c r="AY39" s="321"/>
      <c r="AZ39" s="321"/>
      <c r="BA39" s="321"/>
      <c r="BB39" s="321"/>
      <c r="BC39" s="321"/>
      <c r="BD39" s="321"/>
      <c r="BE39" s="321"/>
      <c r="BF39" s="321"/>
      <c r="BG39" s="321"/>
      <c r="BH39" s="321"/>
      <c r="BI39" s="320"/>
      <c r="BJ39" s="320"/>
      <c r="BK39" s="320"/>
      <c r="BL39" s="320"/>
      <c r="BM39" s="320" t="s">
        <v>230</v>
      </c>
      <c r="BN39" s="320"/>
      <c r="BO39" s="321"/>
      <c r="BP39" s="321"/>
      <c r="BQ39" s="320"/>
      <c r="BR39" s="328"/>
      <c r="BS39" s="328"/>
      <c r="BT39" s="328"/>
      <c r="BU39" s="328"/>
      <c r="BV39" s="328"/>
      <c r="BW39" s="328"/>
      <c r="BX39" s="328"/>
      <c r="BY39" s="328"/>
      <c r="BZ39" s="328"/>
      <c r="CA39" s="328"/>
      <c r="CB39" s="328"/>
      <c r="CC39" s="328"/>
      <c r="CD39" s="328"/>
    </row>
    <row r="40" spans="1:82" s="297" customFormat="1">
      <c r="A40" s="331"/>
      <c r="B40" s="1278"/>
      <c r="C40" s="1278"/>
      <c r="D40" s="1278"/>
      <c r="E40" s="1278"/>
      <c r="F40" s="1278"/>
      <c r="G40" s="328"/>
      <c r="H40" s="328"/>
      <c r="I40" s="344" t="s">
        <v>383</v>
      </c>
      <c r="J40" s="344"/>
      <c r="K40" s="328"/>
      <c r="L40" s="328"/>
      <c r="M40" s="328"/>
      <c r="N40" s="345">
        <f>+N44*15</f>
        <v>450</v>
      </c>
      <c r="O40" s="298"/>
      <c r="P40" s="320"/>
      <c r="Q40" s="320"/>
      <c r="R40" s="320"/>
      <c r="S40" s="320"/>
      <c r="T40" s="320"/>
      <c r="U40" s="320"/>
      <c r="V40" s="321"/>
      <c r="W40" s="321"/>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t="s">
        <v>384</v>
      </c>
      <c r="BN40" s="320"/>
      <c r="BO40" s="321"/>
      <c r="BP40" s="321"/>
      <c r="BQ40" s="320"/>
      <c r="BR40" s="328"/>
      <c r="BS40" s="328"/>
      <c r="BT40" s="328"/>
      <c r="BU40" s="328"/>
      <c r="BV40" s="328"/>
      <c r="BW40" s="328"/>
      <c r="BX40" s="328"/>
      <c r="BY40" s="328"/>
      <c r="BZ40" s="328"/>
      <c r="CA40" s="328"/>
      <c r="CB40" s="328"/>
      <c r="CC40" s="328"/>
      <c r="CD40" s="328"/>
    </row>
    <row r="41" spans="1:82" s="297" customFormat="1" ht="13.5" thickBot="1">
      <c r="A41" s="342"/>
      <c r="B41" s="342"/>
      <c r="C41" s="342"/>
      <c r="D41" s="342"/>
      <c r="E41" s="328"/>
      <c r="F41" s="342"/>
      <c r="G41" s="328"/>
      <c r="H41" s="328"/>
      <c r="I41" s="343"/>
      <c r="J41" s="343"/>
      <c r="K41" s="328"/>
      <c r="L41" s="328"/>
      <c r="M41" s="328"/>
      <c r="N41" s="328"/>
      <c r="O41" s="299"/>
      <c r="P41" s="321"/>
      <c r="Q41" s="321"/>
      <c r="R41" s="321"/>
      <c r="S41" s="321"/>
      <c r="T41" s="321"/>
      <c r="U41" s="321"/>
      <c r="V41" s="330"/>
      <c r="W41" s="330"/>
      <c r="X41" s="326"/>
      <c r="Y41" s="326"/>
      <c r="Z41" s="326"/>
      <c r="AA41" s="326"/>
      <c r="AB41" s="326"/>
      <c r="AC41" s="326"/>
      <c r="AD41" s="321"/>
      <c r="AE41" s="329"/>
      <c r="AF41" s="329"/>
      <c r="AG41" s="329"/>
      <c r="AH41" s="329"/>
      <c r="AI41" s="329"/>
      <c r="AJ41" s="329"/>
      <c r="AK41" s="329"/>
      <c r="AL41" s="329"/>
      <c r="AM41" s="329"/>
      <c r="AN41" s="329"/>
      <c r="AO41" s="329"/>
      <c r="AP41" s="329"/>
      <c r="AQ41" s="329"/>
      <c r="AR41" s="329"/>
      <c r="AS41" s="329"/>
      <c r="AT41" s="329"/>
      <c r="AU41" s="321"/>
      <c r="AV41" s="320"/>
      <c r="AW41" s="321"/>
      <c r="AX41" s="321"/>
      <c r="AY41" s="321"/>
      <c r="AZ41" s="321"/>
      <c r="BA41" s="321"/>
      <c r="BB41" s="321"/>
      <c r="BC41" s="321"/>
      <c r="BD41" s="321"/>
      <c r="BE41" s="321"/>
      <c r="BF41" s="321"/>
      <c r="BG41" s="321"/>
      <c r="BH41" s="321"/>
      <c r="BI41" s="320"/>
      <c r="BJ41" s="320"/>
      <c r="BK41" s="320"/>
      <c r="BL41" s="320"/>
      <c r="BM41" s="320"/>
      <c r="BN41" s="320"/>
      <c r="BO41" s="323"/>
      <c r="BP41" s="323"/>
      <c r="BQ41" s="328"/>
      <c r="BR41" s="328"/>
      <c r="BS41" s="328"/>
      <c r="BT41" s="328"/>
      <c r="BU41" s="328"/>
      <c r="BV41" s="328"/>
      <c r="BW41" s="328"/>
      <c r="BX41" s="328"/>
      <c r="BY41" s="328"/>
      <c r="BZ41" s="328"/>
      <c r="CA41" s="328"/>
      <c r="CB41" s="328"/>
      <c r="CC41" s="328"/>
      <c r="CD41" s="328"/>
    </row>
    <row r="42" spans="1:82" s="297" customFormat="1" ht="13.5" customHeight="1" thickBot="1">
      <c r="A42" s="1273" t="s">
        <v>385</v>
      </c>
      <c r="B42" s="1274"/>
      <c r="C42" s="346" t="s">
        <v>386</v>
      </c>
      <c r="D42" s="1280" t="s">
        <v>387</v>
      </c>
      <c r="E42" s="1281"/>
      <c r="F42" s="1282"/>
      <c r="G42" s="328"/>
      <c r="H42" s="328"/>
      <c r="I42" s="1273" t="s">
        <v>385</v>
      </c>
      <c r="J42" s="1281"/>
      <c r="K42" s="1282"/>
      <c r="L42" s="347" t="s">
        <v>388</v>
      </c>
      <c r="M42" s="328"/>
      <c r="N42" s="328"/>
      <c r="P42" s="328"/>
      <c r="Q42" s="328"/>
      <c r="R42" s="1043"/>
      <c r="S42" s="328"/>
      <c r="T42" s="328"/>
      <c r="U42" s="328"/>
      <c r="V42" s="1043"/>
      <c r="W42" s="1043"/>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3"/>
      <c r="BP42" s="323"/>
      <c r="BQ42" s="328"/>
      <c r="BR42" s="328"/>
      <c r="BS42" s="328"/>
      <c r="BT42" s="328"/>
      <c r="BU42" s="328"/>
      <c r="BV42" s="328"/>
      <c r="BW42" s="328"/>
      <c r="BX42" s="328"/>
      <c r="BY42" s="328"/>
      <c r="BZ42" s="328"/>
      <c r="CA42" s="328"/>
      <c r="CB42" s="328"/>
      <c r="CC42" s="328"/>
      <c r="CD42" s="328"/>
    </row>
    <row r="43" spans="1:82" s="297" customFormat="1">
      <c r="A43" s="1258" t="s">
        <v>389</v>
      </c>
      <c r="B43" s="1259"/>
      <c r="C43" s="348" t="s">
        <v>390</v>
      </c>
      <c r="D43" s="1260">
        <v>50</v>
      </c>
      <c r="E43" s="1261"/>
      <c r="F43" s="1262"/>
      <c r="G43" s="328"/>
      <c r="H43" s="328"/>
      <c r="I43" s="1258" t="s">
        <v>391</v>
      </c>
      <c r="J43" s="1261"/>
      <c r="K43" s="1262"/>
      <c r="L43" s="349">
        <v>4.4999999999999998E-2</v>
      </c>
      <c r="M43" s="350" t="s">
        <v>392</v>
      </c>
      <c r="N43" s="351">
        <f>+Q37</f>
        <v>29</v>
      </c>
      <c r="P43" s="328"/>
      <c r="Q43" s="328"/>
      <c r="R43" s="1043"/>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3"/>
      <c r="BP43" s="323"/>
      <c r="BQ43" s="328"/>
      <c r="BR43" s="328"/>
      <c r="BS43" s="328"/>
      <c r="BT43" s="328"/>
      <c r="BU43" s="328"/>
      <c r="BV43" s="328"/>
      <c r="BW43" s="328"/>
      <c r="BX43" s="328"/>
      <c r="BY43" s="328"/>
      <c r="BZ43" s="328"/>
      <c r="CA43" s="328"/>
      <c r="CB43" s="328"/>
      <c r="CC43" s="328"/>
      <c r="CD43" s="328"/>
    </row>
    <row r="44" spans="1:82" s="297" customFormat="1" ht="13.5" thickBot="1">
      <c r="A44" s="1268" t="s">
        <v>393</v>
      </c>
      <c r="B44" s="1269"/>
      <c r="C44" s="352" t="s">
        <v>394</v>
      </c>
      <c r="D44" s="1270">
        <v>50</v>
      </c>
      <c r="E44" s="1271"/>
      <c r="F44" s="1272"/>
      <c r="G44" s="328"/>
      <c r="H44" s="328"/>
      <c r="I44" s="1268" t="s">
        <v>395</v>
      </c>
      <c r="J44" s="1271"/>
      <c r="K44" s="1272"/>
      <c r="L44" s="353">
        <v>4.3200000000000002E-2</v>
      </c>
      <c r="M44" s="354" t="s">
        <v>396</v>
      </c>
      <c r="N44" s="355">
        <f>E36</f>
        <v>30</v>
      </c>
      <c r="P44" s="328"/>
      <c r="Q44" s="328"/>
      <c r="R44" s="1044"/>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3"/>
      <c r="BK44" s="323"/>
      <c r="BL44" s="323"/>
      <c r="BM44" s="323"/>
      <c r="BN44" s="328"/>
      <c r="BO44" s="323"/>
      <c r="BP44" s="323"/>
      <c r="BQ44" s="328"/>
      <c r="BR44" s="328"/>
      <c r="BS44" s="328"/>
      <c r="BT44" s="328"/>
      <c r="BU44" s="328"/>
      <c r="BV44" s="328"/>
      <c r="BW44" s="328"/>
      <c r="BX44" s="328"/>
      <c r="BY44" s="328"/>
      <c r="BZ44" s="328"/>
      <c r="CA44" s="328"/>
      <c r="CB44" s="328"/>
      <c r="CC44" s="328"/>
      <c r="CD44" s="328"/>
    </row>
    <row r="45" spans="1:82">
      <c r="A45" s="318"/>
      <c r="B45" s="323"/>
      <c r="C45" s="318"/>
      <c r="D45" s="318"/>
      <c r="E45" s="323"/>
      <c r="F45" s="318"/>
      <c r="G45" s="318"/>
      <c r="H45" s="318"/>
      <c r="I45" s="337"/>
      <c r="J45" s="337"/>
      <c r="K45" s="318"/>
      <c r="L45" s="318"/>
      <c r="M45" s="356" t="s">
        <v>397</v>
      </c>
      <c r="N45" s="357">
        <f>+F36</f>
        <v>156</v>
      </c>
      <c r="P45" s="328"/>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18"/>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row>
    <row r="46" spans="1:82" ht="13.5" thickBot="1">
      <c r="A46" s="318"/>
      <c r="B46" s="323"/>
      <c r="C46" s="318"/>
      <c r="D46" s="318"/>
      <c r="E46" s="323"/>
      <c r="F46" s="318"/>
      <c r="G46" s="318"/>
      <c r="H46" s="318"/>
      <c r="I46" s="337"/>
      <c r="J46" s="337"/>
      <c r="K46" s="318"/>
      <c r="L46" s="318"/>
      <c r="M46" s="323"/>
      <c r="N46" s="323"/>
      <c r="P46" s="328"/>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18"/>
      <c r="AV46" s="323"/>
      <c r="AW46" s="314"/>
      <c r="AX46" s="314"/>
      <c r="AY46" s="314"/>
      <c r="AZ46" s="314"/>
      <c r="BA46" s="314"/>
      <c r="BB46" s="314"/>
      <c r="BC46" s="314"/>
      <c r="BD46" s="314"/>
      <c r="BE46" s="314"/>
      <c r="BF46" s="314"/>
      <c r="BG46" s="314"/>
      <c r="BH46" s="314"/>
      <c r="BI46" s="314"/>
      <c r="BJ46" s="323"/>
      <c r="BK46" s="323"/>
      <c r="BL46" s="323"/>
      <c r="BM46" s="323"/>
      <c r="BN46" s="323"/>
      <c r="BO46" s="323"/>
      <c r="BP46" s="323"/>
      <c r="BQ46" s="323"/>
      <c r="BR46" s="323"/>
      <c r="BS46" s="323"/>
      <c r="BT46" s="323"/>
      <c r="BU46" s="323"/>
      <c r="BV46" s="323"/>
      <c r="BW46" s="323"/>
      <c r="BX46" s="323"/>
      <c r="BY46" s="323"/>
      <c r="BZ46" s="323"/>
      <c r="CA46" s="323"/>
      <c r="CB46" s="323"/>
      <c r="CC46" s="323"/>
      <c r="CD46" s="323"/>
    </row>
    <row r="47" spans="1:82" ht="16.5" customHeight="1" thickBot="1">
      <c r="A47" s="1273" t="s">
        <v>398</v>
      </c>
      <c r="B47" s="1274"/>
      <c r="C47" s="358">
        <f>+F36</f>
        <v>156</v>
      </c>
      <c r="D47" s="318"/>
      <c r="E47" s="323"/>
      <c r="F47" s="318"/>
      <c r="G47" s="318"/>
      <c r="H47" s="318"/>
      <c r="I47" s="337"/>
      <c r="J47" s="337"/>
      <c r="K47" s="318"/>
      <c r="L47" s="318"/>
      <c r="M47" s="359"/>
      <c r="N47" s="314"/>
      <c r="P47" s="296"/>
    </row>
    <row r="48" spans="1:82" ht="52.5" customHeight="1">
      <c r="A48" s="1266" t="s">
        <v>399</v>
      </c>
      <c r="B48" s="1267"/>
      <c r="C48" s="360">
        <f>+(L43*C47)/1000</f>
        <v>7.0199999999999993E-3</v>
      </c>
      <c r="D48" s="318"/>
      <c r="E48" s="323"/>
      <c r="F48" s="361" t="s">
        <v>400</v>
      </c>
      <c r="G48" s="362">
        <f>+(L43*F36)</f>
        <v>7.02</v>
      </c>
      <c r="H48" s="318"/>
      <c r="I48" s="337"/>
      <c r="J48" s="337"/>
      <c r="K48" s="318"/>
      <c r="L48" s="318"/>
      <c r="M48" s="323"/>
      <c r="N48" s="323"/>
    </row>
    <row r="49" spans="1:69" ht="66.75" customHeight="1">
      <c r="A49" s="1275" t="s">
        <v>401</v>
      </c>
      <c r="B49" s="1276"/>
      <c r="C49" s="363">
        <f>+(L44*F36)/1000</f>
        <v>6.7391999999999999E-3</v>
      </c>
      <c r="D49" s="318"/>
      <c r="E49" s="323"/>
      <c r="F49" s="364" t="s">
        <v>402</v>
      </c>
      <c r="G49" s="363">
        <f>+(L44*F36)</f>
        <v>6.7392000000000003</v>
      </c>
      <c r="H49" s="318"/>
      <c r="I49" s="337"/>
      <c r="J49" s="337"/>
      <c r="K49" s="318"/>
      <c r="L49" s="318"/>
      <c r="M49" s="323"/>
      <c r="N49" s="323"/>
    </row>
    <row r="50" spans="1:69" ht="42" customHeight="1" thickBot="1">
      <c r="A50" s="1256" t="s">
        <v>403</v>
      </c>
      <c r="B50" s="1257"/>
      <c r="C50" s="365">
        <f>SUM(C48:C49)</f>
        <v>1.3759199999999999E-2</v>
      </c>
      <c r="D50" s="320"/>
      <c r="E50" s="323"/>
      <c r="F50" s="366" t="s">
        <v>403</v>
      </c>
      <c r="G50" s="365">
        <f>SUM(G48:G49)</f>
        <v>13.7592</v>
      </c>
      <c r="H50" s="320"/>
      <c r="I50" s="337"/>
      <c r="J50" s="337"/>
      <c r="K50" s="318"/>
      <c r="L50" s="318"/>
      <c r="M50" s="323"/>
      <c r="N50" s="323"/>
    </row>
    <row r="51" spans="1:69" ht="13.5" thickBot="1">
      <c r="A51" s="318"/>
      <c r="B51" s="318"/>
      <c r="C51" s="318"/>
      <c r="D51" s="318"/>
      <c r="E51" s="323"/>
      <c r="F51" s="318"/>
      <c r="G51" s="318"/>
      <c r="H51" s="318"/>
      <c r="I51" s="337"/>
      <c r="J51" s="337"/>
      <c r="K51" s="318"/>
      <c r="L51" s="318"/>
      <c r="M51" s="323"/>
      <c r="N51" s="323"/>
    </row>
    <row r="52" spans="1:69" ht="26.25" customHeight="1">
      <c r="A52" s="1266" t="s">
        <v>404</v>
      </c>
      <c r="B52" s="1267"/>
      <c r="C52" s="362">
        <f>+(L43*F36*365)/1000</f>
        <v>2.5622999999999996</v>
      </c>
      <c r="D52" s="318"/>
      <c r="E52" s="323"/>
      <c r="F52" s="318"/>
      <c r="G52" s="318"/>
      <c r="H52" s="318"/>
      <c r="I52" s="337"/>
      <c r="J52" s="337"/>
      <c r="K52" s="318"/>
      <c r="L52" s="318"/>
      <c r="M52" s="323"/>
      <c r="N52" s="323"/>
    </row>
    <row r="53" spans="1:69" ht="26.25" customHeight="1">
      <c r="A53" s="1275" t="s">
        <v>405</v>
      </c>
      <c r="B53" s="1276"/>
      <c r="C53" s="363">
        <f>+(L44*F36*365)/1000</f>
        <v>2.4598079999999998</v>
      </c>
      <c r="D53" s="318"/>
      <c r="E53" s="323"/>
      <c r="F53" s="318"/>
      <c r="G53" s="318"/>
      <c r="H53" s="318"/>
      <c r="I53" s="337"/>
      <c r="J53" s="337"/>
      <c r="K53" s="318"/>
      <c r="L53" s="318"/>
      <c r="M53" s="323"/>
      <c r="N53" s="323"/>
      <c r="AW53" s="290"/>
      <c r="AX53" s="290"/>
      <c r="AY53" s="290"/>
      <c r="AZ53" s="290"/>
      <c r="BA53" s="290"/>
      <c r="BB53" s="290"/>
      <c r="BC53" s="290"/>
      <c r="BD53" s="290"/>
      <c r="BE53" s="290"/>
      <c r="BF53" s="290"/>
      <c r="BG53" s="290"/>
      <c r="BH53" s="290"/>
      <c r="BI53" s="290"/>
      <c r="BJ53" s="290"/>
      <c r="BK53" s="290"/>
      <c r="BL53" s="290"/>
      <c r="BM53" s="290"/>
    </row>
    <row r="54" spans="1:69" ht="29.25" customHeight="1" thickBot="1">
      <c r="A54" s="1256" t="s">
        <v>403</v>
      </c>
      <c r="B54" s="1257"/>
      <c r="C54" s="365">
        <f>SUM(C52:C53)</f>
        <v>5.0221079999999994</v>
      </c>
      <c r="D54" s="318"/>
      <c r="E54" s="323"/>
      <c r="F54" s="318"/>
      <c r="G54" s="367"/>
      <c r="H54" s="367"/>
      <c r="I54" s="337"/>
      <c r="J54" s="337"/>
      <c r="K54" s="318"/>
      <c r="L54" s="318"/>
      <c r="M54" s="323"/>
      <c r="N54" s="318"/>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V54" s="290"/>
      <c r="BN54" s="290"/>
    </row>
    <row r="55" spans="1:69">
      <c r="G55" s="300"/>
      <c r="H55" s="300"/>
    </row>
    <row r="56" spans="1:69">
      <c r="G56" s="300"/>
      <c r="H56" s="300"/>
      <c r="N56" s="288" t="s">
        <v>170</v>
      </c>
    </row>
    <row r="57" spans="1:69">
      <c r="A57" s="288"/>
      <c r="C57" s="288"/>
      <c r="D57" s="288"/>
      <c r="G57" s="300"/>
      <c r="H57" s="300"/>
      <c r="I57" s="301"/>
      <c r="J57" s="301"/>
      <c r="K57" s="288"/>
      <c r="L57" s="288"/>
      <c r="AU57" s="288"/>
    </row>
    <row r="58" spans="1:69">
      <c r="A58" s="288"/>
      <c r="C58" s="288"/>
      <c r="D58" s="302"/>
      <c r="F58" s="303"/>
      <c r="G58" s="288"/>
      <c r="H58" s="288"/>
      <c r="I58" s="301"/>
      <c r="J58" s="301"/>
      <c r="K58" s="288"/>
      <c r="L58" s="288"/>
      <c r="AU58" s="288"/>
    </row>
    <row r="59" spans="1:69">
      <c r="A59" s="288"/>
      <c r="C59" s="288"/>
      <c r="D59" s="302"/>
      <c r="F59" s="303"/>
      <c r="G59" s="288"/>
      <c r="H59" s="288"/>
      <c r="I59" s="301"/>
      <c r="J59" s="301"/>
      <c r="K59" s="288"/>
      <c r="L59" s="288"/>
      <c r="AU59" s="288"/>
    </row>
    <row r="60" spans="1:69">
      <c r="A60" s="288"/>
      <c r="C60" s="288"/>
      <c r="D60" s="302"/>
      <c r="F60" s="303"/>
      <c r="G60" s="288"/>
      <c r="H60" s="288"/>
      <c r="I60" s="301"/>
      <c r="J60" s="301"/>
      <c r="K60" s="288"/>
      <c r="L60" s="288"/>
      <c r="AU60" s="288"/>
    </row>
    <row r="62" spans="1:69" s="290" customFormat="1">
      <c r="B62" s="288"/>
      <c r="D62" s="300"/>
      <c r="F62" s="303"/>
      <c r="I62" s="291"/>
      <c r="J62" s="291"/>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row>
    <row r="63" spans="1:69" s="290" customFormat="1">
      <c r="B63" s="288"/>
      <c r="D63" s="300"/>
      <c r="F63" s="303"/>
      <c r="I63" s="291"/>
      <c r="J63" s="291"/>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row>
    <row r="64" spans="1:69" s="290" customFormat="1">
      <c r="B64" s="288"/>
      <c r="D64" s="300"/>
      <c r="F64" s="303"/>
      <c r="I64" s="291"/>
      <c r="J64" s="291"/>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row>
  </sheetData>
  <sheetProtection autoFilter="0"/>
  <mergeCells count="41">
    <mergeCell ref="BW3:CD3"/>
    <mergeCell ref="BL3:BS3"/>
    <mergeCell ref="AZ3:BG3"/>
    <mergeCell ref="A3:A4"/>
    <mergeCell ref="A1:BT1"/>
    <mergeCell ref="B3:B4"/>
    <mergeCell ref="C3:C4"/>
    <mergeCell ref="D3:D4"/>
    <mergeCell ref="F3:F4"/>
    <mergeCell ref="L3:L4"/>
    <mergeCell ref="M3:M4"/>
    <mergeCell ref="N3:N4"/>
    <mergeCell ref="P3:W3"/>
    <mergeCell ref="AQ3:AX3"/>
    <mergeCell ref="G3:G4"/>
    <mergeCell ref="I3:I4"/>
    <mergeCell ref="K3:K4"/>
    <mergeCell ref="Y3:AF3"/>
    <mergeCell ref="AH3:AO3"/>
    <mergeCell ref="A53:B53"/>
    <mergeCell ref="A42:B42"/>
    <mergeCell ref="D42:F42"/>
    <mergeCell ref="I42:K42"/>
    <mergeCell ref="E3:E4"/>
    <mergeCell ref="J3:J4"/>
    <mergeCell ref="A54:B54"/>
    <mergeCell ref="A43:B43"/>
    <mergeCell ref="D43:F43"/>
    <mergeCell ref="H3:H4"/>
    <mergeCell ref="P2:BS2"/>
    <mergeCell ref="A50:B50"/>
    <mergeCell ref="A52:B52"/>
    <mergeCell ref="A44:B44"/>
    <mergeCell ref="D44:F44"/>
    <mergeCell ref="I44:K44"/>
    <mergeCell ref="A47:B47"/>
    <mergeCell ref="A48:B48"/>
    <mergeCell ref="A49:B49"/>
    <mergeCell ref="I43:K43"/>
    <mergeCell ref="BJ3:BJ4"/>
    <mergeCell ref="B40:F40"/>
  </mergeCells>
  <conditionalFormatting sqref="B6:C35">
    <cfRule type="cellIs" dxfId="13" priority="1" stopIfTrue="1" operator="equal">
      <formula>"?"</formula>
    </cfRule>
  </conditionalFormatting>
  <conditionalFormatting sqref="B36:N36 A6:A40">
    <cfRule type="cellIs" dxfId="12" priority="669" stopIfTrue="1" operator="equal">
      <formula>"?"</formula>
    </cfRule>
  </conditionalFormatting>
  <conditionalFormatting sqref="D6:H6">
    <cfRule type="cellIs" dxfId="11" priority="31" stopIfTrue="1" operator="equal">
      <formula>"?"</formula>
    </cfRule>
  </conditionalFormatting>
  <conditionalFormatting sqref="D7:L7">
    <cfRule type="cellIs" dxfId="10" priority="23" stopIfTrue="1" operator="equal">
      <formula>"?"</formula>
    </cfRule>
  </conditionalFormatting>
  <conditionalFormatting sqref="D8:N35">
    <cfRule type="cellIs" dxfId="9" priority="10" stopIfTrue="1" operator="equal">
      <formula>"?"</formula>
    </cfRule>
  </conditionalFormatting>
  <conditionalFormatting sqref="E36:F36">
    <cfRule type="cellIs" dxfId="8" priority="174" stopIfTrue="1" operator="lessThanOrEqual">
      <formula>2</formula>
    </cfRule>
    <cfRule type="cellIs" dxfId="7" priority="175" stopIfTrue="1" operator="lessThanOrEqual">
      <formula>2</formula>
    </cfRule>
  </conditionalFormatting>
  <conditionalFormatting sqref="F7:F8">
    <cfRule type="cellIs" dxfId="6" priority="62" stopIfTrue="1" operator="lessThanOrEqual">
      <formula>2</formula>
    </cfRule>
    <cfRule type="cellIs" dxfId="5" priority="63" stopIfTrue="1" operator="lessThanOrEqual">
      <formula>2</formula>
    </cfRule>
  </conditionalFormatting>
  <conditionalFormatting sqref="I6:N6 M7">
    <cfRule type="cellIs" dxfId="4" priority="45" stopIfTrue="1" operator="equal">
      <formula>"?"</formula>
    </cfRule>
  </conditionalFormatting>
  <conditionalFormatting sqref="M6:M7">
    <cfRule type="containsText" dxfId="3" priority="41" operator="containsText" text="ERROR">
      <formula>NOT(ISERROR(SEARCH("ERROR",M6)))</formula>
    </cfRule>
  </conditionalFormatting>
  <conditionalFormatting sqref="N7">
    <cfRule type="cellIs" dxfId="2" priority="29" stopIfTrue="1" operator="equal">
      <formula>"?"</formula>
    </cfRule>
  </conditionalFormatting>
  <conditionalFormatting sqref="BU36">
    <cfRule type="cellIs" dxfId="1" priority="194" stopIfTrue="1" operator="equal">
      <formula>"?"</formula>
    </cfRule>
  </conditionalFormatting>
  <conditionalFormatting sqref="BW36:CD36">
    <cfRule type="cellIs" dxfId="0" priority="193" stopIfTrue="1" operator="equal">
      <formula>"?"</formula>
    </cfRule>
  </conditionalFormatting>
  <printOptions horizontalCentered="1"/>
  <pageMargins left="0.39370078740157483" right="0.39370078740157483" top="0.98425196850393704" bottom="0.78740157480314965" header="0" footer="0"/>
  <pageSetup scale="58" orientation="landscape"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'Tablas BD'!$I$2:$I$3</xm:f>
          </x14:formula1>
          <xm:sqref>L6:L35 H6:H35</xm:sqref>
        </x14:dataValidation>
        <x14:dataValidation type="list" allowBlank="1" showInputMessage="1" showErrorMessage="1" xr:uid="{00000000-0002-0000-0300-000001000000}">
          <x14:formula1>
            <xm:f>'Tablas BD'!$K$2:$K$81</xm:f>
          </x14:formula1>
          <xm:sqref>C6:C35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M157"/>
  <sheetViews>
    <sheetView topLeftCell="A12" zoomScaleNormal="100" workbookViewId="0">
      <selection activeCell="E29" sqref="E29"/>
    </sheetView>
  </sheetViews>
  <sheetFormatPr baseColWidth="10" defaultColWidth="12" defaultRowHeight="12.75"/>
  <cols>
    <col min="1" max="1" width="8" style="469" customWidth="1"/>
    <col min="2" max="2" width="39.6640625" style="469" customWidth="1"/>
    <col min="3" max="4" width="16.33203125" style="469" customWidth="1"/>
    <col min="5" max="5" width="17.5" style="469" customWidth="1"/>
    <col min="6" max="6" width="14.5" style="469" customWidth="1"/>
    <col min="7" max="7" width="15.6640625" style="469" customWidth="1"/>
    <col min="8" max="9" width="15.33203125" style="469" customWidth="1"/>
    <col min="10" max="10" width="18.6640625" style="469" customWidth="1"/>
    <col min="11" max="11" width="18.1640625" style="469" customWidth="1"/>
    <col min="12" max="12" width="22.6640625" style="469" customWidth="1"/>
    <col min="13" max="13" width="12" style="469"/>
    <col min="14" max="14" width="15.1640625" style="469" customWidth="1"/>
    <col min="15" max="16384" width="12" style="469"/>
  </cols>
  <sheetData>
    <row r="1" spans="2:13" ht="38.1" customHeight="1">
      <c r="B1" s="1295" t="s">
        <v>613</v>
      </c>
      <c r="C1" s="1295"/>
      <c r="E1" s="472" t="s">
        <v>799</v>
      </c>
    </row>
    <row r="2" spans="2:13" s="470" customFormat="1" ht="38.1" customHeight="1">
      <c r="B2" s="501" t="s">
        <v>614</v>
      </c>
      <c r="C2" s="596">
        <v>143542</v>
      </c>
      <c r="E2" s="1296"/>
      <c r="F2" s="1297"/>
    </row>
    <row r="3" spans="2:13" s="470" customFormat="1" ht="38.1" customHeight="1">
      <c r="B3" s="501" t="s">
        <v>615</v>
      </c>
      <c r="C3" s="596">
        <v>74948</v>
      </c>
      <c r="E3" s="473"/>
    </row>
    <row r="4" spans="2:13" s="470" customFormat="1" ht="38.1" customHeight="1">
      <c r="B4" s="501" t="s">
        <v>616</v>
      </c>
      <c r="C4" s="596">
        <f>+C3*2</f>
        <v>149896</v>
      </c>
      <c r="E4" s="473"/>
    </row>
    <row r="5" spans="2:13" s="470" customFormat="1" ht="38.1" customHeight="1">
      <c r="B5" s="501" t="s">
        <v>617</v>
      </c>
      <c r="C5" s="596">
        <f>+C3+C2</f>
        <v>218490</v>
      </c>
      <c r="E5" s="473"/>
      <c r="G5" s="475"/>
    </row>
    <row r="6" spans="2:13" s="470" customFormat="1" ht="38.1" customHeight="1">
      <c r="B6" s="501" t="s">
        <v>618</v>
      </c>
      <c r="C6" s="596">
        <f>+C2+C3*2</f>
        <v>293438</v>
      </c>
      <c r="E6" s="473"/>
    </row>
    <row r="7" spans="2:13" ht="38.1" customHeight="1">
      <c r="B7" s="501" t="s">
        <v>619</v>
      </c>
      <c r="C7" s="596">
        <f>+C2+3*C3</f>
        <v>368386</v>
      </c>
    </row>
    <row r="8" spans="2:13" ht="38.1" customHeight="1">
      <c r="B8" s="501" t="s">
        <v>425</v>
      </c>
      <c r="C8" s="596">
        <v>143542</v>
      </c>
    </row>
    <row r="9" spans="2:13" ht="60" customHeight="1">
      <c r="B9" s="1296" t="s">
        <v>620</v>
      </c>
      <c r="C9" s="1297"/>
    </row>
    <row r="10" spans="2:13" ht="20.25" customHeight="1">
      <c r="B10" s="684"/>
      <c r="C10" s="684"/>
    </row>
    <row r="11" spans="2:13" ht="27.75" customHeight="1">
      <c r="B11" s="892" t="s">
        <v>264</v>
      </c>
      <c r="C11" s="892"/>
      <c r="D11" s="892"/>
      <c r="E11" s="892"/>
      <c r="F11" s="892"/>
      <c r="G11" s="892"/>
      <c r="H11" s="892"/>
      <c r="I11" s="892"/>
      <c r="J11" s="892"/>
      <c r="K11" s="892"/>
      <c r="L11" s="892"/>
      <c r="M11" s="892"/>
    </row>
    <row r="12" spans="2:13" ht="16.149999999999999" customHeight="1">
      <c r="B12" s="685"/>
      <c r="C12" s="685"/>
      <c r="D12" s="685"/>
      <c r="E12" s="685"/>
      <c r="F12" s="685"/>
      <c r="G12" s="685"/>
      <c r="H12" s="685"/>
      <c r="I12" s="685"/>
      <c r="J12" s="685"/>
      <c r="K12" s="685"/>
      <c r="L12" s="685"/>
      <c r="M12" s="685"/>
    </row>
    <row r="13" spans="2:13" ht="16.149999999999999" customHeight="1">
      <c r="B13" s="893" t="s">
        <v>621</v>
      </c>
      <c r="C13" s="893"/>
      <c r="D13" s="893"/>
      <c r="E13" s="893"/>
      <c r="F13" s="893"/>
      <c r="G13" s="893"/>
      <c r="H13" s="893"/>
      <c r="I13" s="893"/>
      <c r="J13" s="893"/>
      <c r="K13" s="893"/>
      <c r="L13" s="893"/>
      <c r="M13" s="893"/>
    </row>
    <row r="14" spans="2:13" ht="16.149999999999999" customHeight="1" thickBot="1"/>
    <row r="15" spans="2:13" ht="22.15" customHeight="1">
      <c r="B15" s="894" t="s">
        <v>622</v>
      </c>
      <c r="C15" s="894"/>
      <c r="D15" s="894"/>
      <c r="E15" s="894"/>
      <c r="F15" s="894"/>
      <c r="G15" s="894"/>
      <c r="H15" s="894"/>
      <c r="I15" s="894"/>
      <c r="J15" s="895"/>
    </row>
    <row r="16" spans="2:13" ht="31.15" customHeight="1">
      <c r="B16" s="707" t="s">
        <v>623</v>
      </c>
      <c r="C16" s="708" t="s">
        <v>624</v>
      </c>
      <c r="D16" s="708" t="s">
        <v>625</v>
      </c>
      <c r="E16" s="708" t="s">
        <v>626</v>
      </c>
      <c r="F16" s="708" t="s">
        <v>627</v>
      </c>
      <c r="G16" s="708" t="s">
        <v>628</v>
      </c>
      <c r="H16" s="708" t="s">
        <v>629</v>
      </c>
      <c r="I16" s="708" t="s">
        <v>630</v>
      </c>
      <c r="J16" s="708" t="s">
        <v>631</v>
      </c>
    </row>
    <row r="17" spans="1:13" ht="22.15" customHeight="1">
      <c r="A17" s="388">
        <v>1</v>
      </c>
      <c r="B17" s="638" t="str">
        <f>'FICHAS '!C6</f>
        <v>Santa Fe de Antioquia</v>
      </c>
      <c r="C17" s="595">
        <f>VLOOKUP($B$17,$B$48:$K$127,3,FALSE)</f>
        <v>487382</v>
      </c>
      <c r="D17" s="595">
        <f>VLOOKUP($B$17,$B$48:$K$127,4,FALSE)</f>
        <v>551634.66666666674</v>
      </c>
      <c r="E17" s="595">
        <f>VLOOKUP($B$17,$B$48:$K$127,5,FALSE)</f>
        <v>566039.33333333326</v>
      </c>
      <c r="F17" s="595">
        <f>VLOOKUP($B$17,$B$48:$K$127,6,FALSE)</f>
        <v>683777.33333333326</v>
      </c>
      <c r="G17" s="595">
        <f>VLOOKUP($B$17,$B$48:$K$127,7,FALSE)</f>
        <v>797919.33333333326</v>
      </c>
      <c r="H17" s="595">
        <f>VLOOKUP($B$17,$B$48:$K$127,8,FALSE)</f>
        <v>860849.33333333326</v>
      </c>
      <c r="I17" s="595">
        <f>VLOOKUP($B$17,$B$48:$K$127,9,FALSE)</f>
        <v>1126230</v>
      </c>
      <c r="J17" s="595">
        <f>VLOOKUP($B$17,$B$48:$K$127,10,FALSE)</f>
        <v>0</v>
      </c>
    </row>
    <row r="18" spans="1:13" ht="21" customHeight="1">
      <c r="A18" s="388"/>
      <c r="B18" s="1040" t="str">
        <f>IF('FICHAS '!N37&lt;10,'Salarios y transporte'!B156,'Salarios y transporte'!B157)</f>
        <v>Distancia vereda &gt;= 10 km</v>
      </c>
      <c r="C18" s="595">
        <f>VLOOKUP(B$18,B$156:J$157,2,FALSE)</f>
        <v>285974.97142857139</v>
      </c>
      <c r="D18" s="595">
        <f>VLOOKUP(C$18,C$156:K$157,2,FALSE)</f>
        <v>294628.83809523802</v>
      </c>
      <c r="E18" s="595">
        <f>VLOOKUP(D$18,D$156:L$157,2,FALSE)</f>
        <v>302322.39047619043</v>
      </c>
      <c r="F18" s="595">
        <f>VLOOKUP(E$18,E$156:M$157,2,FALSE)</f>
        <v>365206.41904761904</v>
      </c>
      <c r="G18" s="595">
        <f t="shared" ref="G18:J18" si="0">VLOOKUP(F$18,F$156:N$157,2,FALSE)</f>
        <v>426169.81904761895</v>
      </c>
      <c r="H18" s="595">
        <f t="shared" si="0"/>
        <v>459780.81904761895</v>
      </c>
      <c r="I18" s="595">
        <f t="shared" si="0"/>
        <v>601521</v>
      </c>
      <c r="J18" s="595">
        <f t="shared" si="0"/>
        <v>0</v>
      </c>
    </row>
    <row r="19" spans="1:13" ht="29.25" customHeight="1">
      <c r="B19" s="705" t="s">
        <v>634</v>
      </c>
      <c r="C19" s="706">
        <f>'FICHAS '!N37</f>
        <v>27.756666666666668</v>
      </c>
      <c r="D19" s="686"/>
      <c r="E19" s="686"/>
      <c r="F19" s="686"/>
      <c r="G19" s="686"/>
      <c r="H19" s="686"/>
      <c r="I19" s="686"/>
      <c r="J19" s="686"/>
    </row>
    <row r="20" spans="1:13" ht="27" customHeight="1">
      <c r="B20" s="686"/>
      <c r="C20" s="686"/>
      <c r="D20" s="686"/>
      <c r="E20" s="686"/>
      <c r="F20" s="686"/>
      <c r="G20" s="686"/>
      <c r="H20" s="686"/>
      <c r="I20" s="686"/>
      <c r="J20" s="686"/>
    </row>
    <row r="21" spans="1:13" ht="17.25" customHeight="1">
      <c r="B21" s="896" t="s">
        <v>635</v>
      </c>
      <c r="C21" s="896"/>
      <c r="D21" s="896"/>
      <c r="E21" s="896"/>
      <c r="F21" s="896"/>
      <c r="G21" s="896"/>
      <c r="H21" s="896"/>
      <c r="I21" s="896"/>
      <c r="J21" s="896"/>
    </row>
    <row r="22" spans="1:13">
      <c r="A22" s="694">
        <v>4</v>
      </c>
      <c r="B22" s="639" t="s">
        <v>636</v>
      </c>
      <c r="C22" s="491">
        <f>'ppto sistema septico'!F8</f>
        <v>29</v>
      </c>
      <c r="D22" s="491">
        <f>'ppto sistema septico'!H8</f>
        <v>0</v>
      </c>
      <c r="E22" s="627">
        <f>'ppto sistema septico'!J8</f>
        <v>0</v>
      </c>
      <c r="F22" s="627">
        <f>'ppto sistema septico'!L8</f>
        <v>0</v>
      </c>
      <c r="G22" s="491">
        <f>'ppto sistema septico'!N8</f>
        <v>0</v>
      </c>
      <c r="H22" s="491">
        <f>'ppto sistema septico'!P8</f>
        <v>1</v>
      </c>
      <c r="I22" s="491">
        <f>'ppto sistema septico'!R8</f>
        <v>0</v>
      </c>
      <c r="J22" s="491">
        <f>'ppto sistema septico'!T8</f>
        <v>0</v>
      </c>
    </row>
    <row r="23" spans="1:13">
      <c r="A23" s="694">
        <v>5</v>
      </c>
      <c r="B23" s="639" t="s">
        <v>637</v>
      </c>
      <c r="C23" s="628">
        <f>ROUNDUP(C22/3,0)</f>
        <v>10</v>
      </c>
      <c r="D23" s="628">
        <f>ROUNDUP(D22/3,0)</f>
        <v>0</v>
      </c>
      <c r="E23" s="628">
        <f>ROUNDUP(E22/3,0)</f>
        <v>0</v>
      </c>
      <c r="F23" s="628">
        <f>ROUNDUP(F22/2,0)</f>
        <v>0</v>
      </c>
      <c r="G23" s="628">
        <f>ROUNDUP(G22/2,0)</f>
        <v>0</v>
      </c>
      <c r="H23" s="628">
        <f>ROUNDUP(H22/1,0)</f>
        <v>1</v>
      </c>
      <c r="I23" s="628">
        <f>ROUNDUP(I22/1,0)</f>
        <v>0</v>
      </c>
      <c r="J23" s="628">
        <f>ROUNDUP(J22/1,0)</f>
        <v>0</v>
      </c>
    </row>
    <row r="24" spans="1:13">
      <c r="A24" s="694" t="s">
        <v>638</v>
      </c>
      <c r="B24" s="639" t="s">
        <v>639</v>
      </c>
      <c r="C24" s="626">
        <f>C17+C18</f>
        <v>773356.97142857139</v>
      </c>
      <c r="D24" s="626">
        <f t="shared" ref="D24:J24" si="1">D17+D18</f>
        <v>846263.50476190471</v>
      </c>
      <c r="E24" s="626">
        <f t="shared" si="1"/>
        <v>868361.72380952374</v>
      </c>
      <c r="F24" s="626">
        <f t="shared" si="1"/>
        <v>1048983.7523809522</v>
      </c>
      <c r="G24" s="626">
        <f t="shared" si="1"/>
        <v>1224089.1523809521</v>
      </c>
      <c r="H24" s="626">
        <f t="shared" si="1"/>
        <v>1320630.1523809521</v>
      </c>
      <c r="I24" s="626">
        <f t="shared" si="1"/>
        <v>1727751</v>
      </c>
      <c r="J24" s="626">
        <f t="shared" si="1"/>
        <v>0</v>
      </c>
    </row>
    <row r="25" spans="1:13">
      <c r="A25" s="694" t="s">
        <v>640</v>
      </c>
      <c r="B25" s="639" t="s">
        <v>641</v>
      </c>
      <c r="C25" s="613">
        <f t="shared" ref="C25:J25" si="2">C24*C23</f>
        <v>7733569.7142857136</v>
      </c>
      <c r="D25" s="613">
        <f t="shared" si="2"/>
        <v>0</v>
      </c>
      <c r="E25" s="613">
        <f t="shared" si="2"/>
        <v>0</v>
      </c>
      <c r="F25" s="613">
        <f t="shared" si="2"/>
        <v>0</v>
      </c>
      <c r="G25" s="613">
        <f t="shared" si="2"/>
        <v>0</v>
      </c>
      <c r="H25" s="613">
        <f t="shared" si="2"/>
        <v>1320630.1523809521</v>
      </c>
      <c r="I25" s="613">
        <f t="shared" si="2"/>
        <v>0</v>
      </c>
      <c r="J25" s="613">
        <f t="shared" si="2"/>
        <v>0</v>
      </c>
    </row>
    <row r="26" spans="1:13">
      <c r="A26" s="694" t="s">
        <v>642</v>
      </c>
      <c r="B26" s="639" t="s">
        <v>643</v>
      </c>
      <c r="C26" s="640">
        <f t="shared" ref="C26:J26" si="3">IFERROR(C25/C22,"0")</f>
        <v>266674.81773399014</v>
      </c>
      <c r="D26" s="640" t="str">
        <f t="shared" si="3"/>
        <v>0</v>
      </c>
      <c r="E26" s="640" t="str">
        <f t="shared" si="3"/>
        <v>0</v>
      </c>
      <c r="F26" s="640" t="str">
        <f t="shared" si="3"/>
        <v>0</v>
      </c>
      <c r="G26" s="640" t="str">
        <f t="shared" si="3"/>
        <v>0</v>
      </c>
      <c r="H26" s="640">
        <f t="shared" si="3"/>
        <v>1320630.1523809521</v>
      </c>
      <c r="I26" s="640" t="str">
        <f t="shared" si="3"/>
        <v>0</v>
      </c>
      <c r="J26" s="640" t="str">
        <f t="shared" si="3"/>
        <v>0</v>
      </c>
    </row>
    <row r="27" spans="1:13" ht="25.5">
      <c r="A27" s="694" t="s">
        <v>644</v>
      </c>
      <c r="B27" s="639" t="s">
        <v>645</v>
      </c>
      <c r="C27" s="641">
        <f>SUM(C25:J25)</f>
        <v>9054199.8666666653</v>
      </c>
    </row>
    <row r="28" spans="1:13" ht="25.5" customHeight="1">
      <c r="A28" s="694" t="s">
        <v>646</v>
      </c>
      <c r="B28" s="639" t="s">
        <v>210</v>
      </c>
      <c r="C28" s="642">
        <f>C27/('ppto sistema septico'!F8+'ppto sistema septico'!H8+'ppto sistema septico'!J8+'ppto sistema septico'!L8+'ppto sistema septico'!N8+'ppto sistema septico'!P8+'ppto sistema septico'!R8+'ppto sistema septico'!T8)</f>
        <v>301806.66222222219</v>
      </c>
    </row>
    <row r="30" spans="1:13" ht="20.25" customHeight="1">
      <c r="B30" s="1294" t="s">
        <v>647</v>
      </c>
      <c r="C30" s="1294"/>
      <c r="D30" s="1294"/>
      <c r="E30" s="1294"/>
      <c r="F30" s="1294"/>
      <c r="G30" s="1294"/>
      <c r="H30" s="1294"/>
      <c r="I30" s="1294"/>
      <c r="J30" s="1294"/>
      <c r="K30" s="1294"/>
      <c r="L30" s="1294"/>
      <c r="M30" s="1294"/>
    </row>
    <row r="31" spans="1:13" ht="20.25" customHeight="1">
      <c r="B31" s="685"/>
      <c r="C31" s="685"/>
      <c r="D31" s="685"/>
      <c r="E31" s="685"/>
      <c r="F31" s="685"/>
      <c r="G31" s="685"/>
      <c r="H31" s="685"/>
      <c r="I31" s="685"/>
      <c r="J31" s="685"/>
      <c r="K31" s="685"/>
      <c r="L31" s="685"/>
      <c r="M31" s="685"/>
    </row>
    <row r="32" spans="1:13" ht="27" customHeight="1">
      <c r="B32" s="1298" t="s">
        <v>559</v>
      </c>
      <c r="C32" s="1298"/>
      <c r="D32" s="1298"/>
      <c r="E32" s="1298"/>
      <c r="F32" s="1298"/>
      <c r="G32" s="1298"/>
      <c r="H32" s="1298"/>
      <c r="I32" s="1298"/>
    </row>
    <row r="33" spans="1:12" ht="27" customHeight="1">
      <c r="B33" s="1287" t="s">
        <v>435</v>
      </c>
      <c r="C33" s="1290" t="s">
        <v>648</v>
      </c>
      <c r="D33" s="1290"/>
      <c r="E33" s="1290"/>
      <c r="F33" s="1290"/>
      <c r="G33" s="1290"/>
      <c r="H33" s="1291" t="s">
        <v>649</v>
      </c>
      <c r="I33" s="1291"/>
      <c r="J33" s="1291" t="s">
        <v>830</v>
      </c>
      <c r="K33" s="1291"/>
    </row>
    <row r="34" spans="1:12" ht="13.15" customHeight="1">
      <c r="B34" s="1288"/>
      <c r="C34" s="610">
        <v>1</v>
      </c>
      <c r="D34" s="610">
        <v>2</v>
      </c>
      <c r="E34" s="610">
        <v>3</v>
      </c>
      <c r="F34" s="1292" t="s">
        <v>650</v>
      </c>
      <c r="G34" s="1292"/>
      <c r="H34" s="1293" t="s">
        <v>650</v>
      </c>
      <c r="I34" s="1293"/>
      <c r="J34" s="1293" t="s">
        <v>650</v>
      </c>
      <c r="K34" s="1293"/>
    </row>
    <row r="35" spans="1:12" ht="25.5" customHeight="1">
      <c r="B35" s="1289"/>
      <c r="C35" s="610" t="s">
        <v>651</v>
      </c>
      <c r="D35" s="610" t="s">
        <v>652</v>
      </c>
      <c r="E35" s="610" t="s">
        <v>653</v>
      </c>
      <c r="F35" s="610" t="s">
        <v>654</v>
      </c>
      <c r="G35" s="610" t="s">
        <v>655</v>
      </c>
      <c r="H35" s="764" t="s">
        <v>656</v>
      </c>
      <c r="I35" s="764" t="s">
        <v>657</v>
      </c>
      <c r="J35" s="764" t="s">
        <v>831</v>
      </c>
      <c r="K35" s="764" t="s">
        <v>832</v>
      </c>
    </row>
    <row r="36" spans="1:12" ht="92.25" customHeight="1">
      <c r="B36" s="608" t="s">
        <v>658</v>
      </c>
      <c r="C36" s="609">
        <v>4760</v>
      </c>
      <c r="D36" s="609">
        <v>4350</v>
      </c>
      <c r="E36" s="609">
        <v>10200</v>
      </c>
      <c r="F36" s="762">
        <f t="shared" ref="F36:F43" si="4">AVERAGE(C36:E36)</f>
        <v>6436.666666666667</v>
      </c>
      <c r="G36" s="762">
        <f t="shared" ref="G36:G43" si="5">AVERAGE(C36:D36)</f>
        <v>4555</v>
      </c>
      <c r="H36" s="765">
        <f>+F36+F36*13.12%</f>
        <v>7281.1573333333336</v>
      </c>
      <c r="I36" s="765">
        <f>+G36+G36*13.12%</f>
        <v>5152.616</v>
      </c>
      <c r="J36" s="765">
        <f>+'Análisis precios transporte'!F4</f>
        <v>7861</v>
      </c>
      <c r="K36" s="765">
        <f>+'Análisis precios transporte'!G4</f>
        <v>8636</v>
      </c>
    </row>
    <row r="37" spans="1:12" ht="99" customHeight="1">
      <c r="B37" s="608" t="s">
        <v>659</v>
      </c>
      <c r="C37" s="609">
        <v>4760</v>
      </c>
      <c r="D37" s="609">
        <v>4500</v>
      </c>
      <c r="E37" s="609">
        <v>10200</v>
      </c>
      <c r="F37" s="762">
        <f t="shared" si="4"/>
        <v>6486.666666666667</v>
      </c>
      <c r="G37" s="762">
        <f t="shared" si="5"/>
        <v>4630</v>
      </c>
      <c r="H37" s="765">
        <f t="shared" ref="H37:I43" si="6">+F37+F37*13.12%</f>
        <v>7337.717333333334</v>
      </c>
      <c r="I37" s="765">
        <f t="shared" si="6"/>
        <v>5237.4560000000001</v>
      </c>
      <c r="J37" s="765">
        <f>+'Análisis precios transporte'!F5</f>
        <v>7966</v>
      </c>
      <c r="K37" s="765">
        <f>+'Análisis precios transporte'!G5</f>
        <v>8897.3333333333339</v>
      </c>
    </row>
    <row r="38" spans="1:12" ht="113.25" customHeight="1">
      <c r="B38" s="608" t="s">
        <v>660</v>
      </c>
      <c r="C38" s="609">
        <v>4760</v>
      </c>
      <c r="D38" s="609">
        <v>4800</v>
      </c>
      <c r="E38" s="609">
        <v>10200</v>
      </c>
      <c r="F38" s="762">
        <f t="shared" si="4"/>
        <v>6586.666666666667</v>
      </c>
      <c r="G38" s="762">
        <f t="shared" si="5"/>
        <v>4780</v>
      </c>
      <c r="H38" s="765">
        <f t="shared" si="6"/>
        <v>7450.8373333333338</v>
      </c>
      <c r="I38" s="765">
        <f t="shared" si="6"/>
        <v>5407.1360000000004</v>
      </c>
      <c r="J38" s="765">
        <f>+'Análisis precios transporte'!F6</f>
        <v>8198.3333333333339</v>
      </c>
      <c r="K38" s="765">
        <f>+'Análisis precios transporte'!G6</f>
        <v>9129.6666666666661</v>
      </c>
    </row>
    <row r="39" spans="1:12" ht="105" customHeight="1">
      <c r="B39" s="608" t="s">
        <v>661</v>
      </c>
      <c r="C39" s="609">
        <v>4760</v>
      </c>
      <c r="D39" s="609">
        <v>5600</v>
      </c>
      <c r="E39" s="609">
        <v>10200</v>
      </c>
      <c r="F39" s="762">
        <f t="shared" si="4"/>
        <v>6853.333333333333</v>
      </c>
      <c r="G39" s="762">
        <f t="shared" si="5"/>
        <v>5180</v>
      </c>
      <c r="H39" s="765">
        <f t="shared" si="6"/>
        <v>7752.4906666666666</v>
      </c>
      <c r="I39" s="765">
        <f t="shared" si="6"/>
        <v>5859.616</v>
      </c>
      <c r="J39" s="765">
        <f>+'Análisis precios transporte'!F7</f>
        <v>10097.333333333334</v>
      </c>
      <c r="K39" s="765">
        <f>+'Análisis precios transporte'!G7</f>
        <v>11028.666666666666</v>
      </c>
    </row>
    <row r="40" spans="1:12" ht="108.75" customHeight="1">
      <c r="B40" s="608" t="s">
        <v>662</v>
      </c>
      <c r="C40" s="609">
        <v>4760</v>
      </c>
      <c r="D40" s="609">
        <v>5900</v>
      </c>
      <c r="E40" s="609">
        <v>10200</v>
      </c>
      <c r="F40" s="762">
        <f t="shared" si="4"/>
        <v>6953.333333333333</v>
      </c>
      <c r="G40" s="762">
        <f t="shared" si="5"/>
        <v>5330</v>
      </c>
      <c r="H40" s="765">
        <f t="shared" si="6"/>
        <v>7865.6106666666665</v>
      </c>
      <c r="I40" s="765">
        <f t="shared" si="6"/>
        <v>6029.2960000000003</v>
      </c>
      <c r="J40" s="765">
        <f>+'Análisis precios transporte'!F8</f>
        <v>11938.333333333334</v>
      </c>
      <c r="K40" s="765">
        <f>+'Análisis precios transporte'!G8</f>
        <v>12869.666666666666</v>
      </c>
    </row>
    <row r="41" spans="1:12" ht="111.75" customHeight="1">
      <c r="B41" s="608" t="s">
        <v>663</v>
      </c>
      <c r="C41" s="609">
        <v>4760</v>
      </c>
      <c r="D41" s="609">
        <v>6500</v>
      </c>
      <c r="E41" s="609">
        <v>10200</v>
      </c>
      <c r="F41" s="762">
        <f t="shared" si="4"/>
        <v>7153.333333333333</v>
      </c>
      <c r="G41" s="762">
        <f t="shared" si="5"/>
        <v>5630</v>
      </c>
      <c r="H41" s="765">
        <f t="shared" si="6"/>
        <v>8091.8506666666663</v>
      </c>
      <c r="I41" s="765">
        <f t="shared" si="6"/>
        <v>6368.6559999999999</v>
      </c>
      <c r="J41" s="765">
        <f>+'Análisis precios transporte'!F9</f>
        <v>12953.333333333334</v>
      </c>
      <c r="K41" s="765">
        <f>+'Análisis precios transporte'!G9</f>
        <v>13884.666666666666</v>
      </c>
    </row>
    <row r="42" spans="1:12" ht="108" customHeight="1">
      <c r="B42" s="608" t="s">
        <v>664</v>
      </c>
      <c r="C42" s="609">
        <v>4760</v>
      </c>
      <c r="D42" s="609">
        <v>7550</v>
      </c>
      <c r="E42" s="609">
        <v>10200</v>
      </c>
      <c r="F42" s="762">
        <f t="shared" si="4"/>
        <v>7503.333333333333</v>
      </c>
      <c r="G42" s="762">
        <f t="shared" si="5"/>
        <v>6155</v>
      </c>
      <c r="H42" s="765">
        <f t="shared" si="6"/>
        <v>8487.7706666666654</v>
      </c>
      <c r="I42" s="765">
        <f t="shared" si="6"/>
        <v>6962.5360000000001</v>
      </c>
      <c r="J42" s="765">
        <f>+'Análisis precios transporte'!F10</f>
        <v>16768</v>
      </c>
      <c r="K42" s="765">
        <f>+'Análisis precios transporte'!G10</f>
        <v>18165</v>
      </c>
    </row>
    <row r="43" spans="1:12" ht="100.5" customHeight="1">
      <c r="B43" s="608" t="s">
        <v>665</v>
      </c>
      <c r="C43" s="609">
        <v>4760</v>
      </c>
      <c r="D43" s="609">
        <v>7950</v>
      </c>
      <c r="E43" s="609">
        <v>10200</v>
      </c>
      <c r="F43" s="762">
        <f t="shared" si="4"/>
        <v>7636.666666666667</v>
      </c>
      <c r="G43" s="762">
        <f t="shared" si="5"/>
        <v>6355</v>
      </c>
      <c r="H43" s="765">
        <f t="shared" si="6"/>
        <v>8638.5973333333332</v>
      </c>
      <c r="I43" s="765">
        <f t="shared" si="6"/>
        <v>7188.7759999999998</v>
      </c>
      <c r="J43" s="765">
        <f>+'Análisis precios transporte'!F11</f>
        <v>0</v>
      </c>
      <c r="K43" s="765">
        <f>+'Análisis precios transporte'!G11</f>
        <v>0</v>
      </c>
    </row>
    <row r="44" spans="1:12">
      <c r="B44" s="611"/>
      <c r="C44" s="612"/>
    </row>
    <row r="45" spans="1:12" ht="18.75" customHeight="1">
      <c r="A45" s="399">
        <v>1</v>
      </c>
      <c r="B45" s="688" t="s">
        <v>666</v>
      </c>
      <c r="C45" s="687"/>
      <c r="D45" s="687"/>
      <c r="E45" s="687"/>
      <c r="F45" s="687"/>
      <c r="G45" s="687"/>
      <c r="H45" s="687"/>
      <c r="I45" s="687"/>
      <c r="J45" s="687"/>
      <c r="K45" s="687"/>
      <c r="L45" s="687"/>
    </row>
    <row r="46" spans="1:12" ht="27" customHeight="1">
      <c r="B46" s="1285" t="s">
        <v>667</v>
      </c>
      <c r="C46" s="1285"/>
      <c r="D46" s="1285"/>
      <c r="E46" s="1285"/>
      <c r="F46" s="1285"/>
      <c r="G46" s="1285"/>
      <c r="H46" s="1285"/>
      <c r="I46" s="1285"/>
      <c r="J46" s="1285"/>
      <c r="K46" s="1285"/>
    </row>
    <row r="47" spans="1:12" ht="28.5" customHeight="1" thickBot="1">
      <c r="B47" s="634" t="s">
        <v>347</v>
      </c>
      <c r="C47" s="635" t="s">
        <v>668</v>
      </c>
      <c r="D47" s="636" t="s">
        <v>624</v>
      </c>
      <c r="E47" s="636" t="s">
        <v>625</v>
      </c>
      <c r="F47" s="636" t="s">
        <v>626</v>
      </c>
      <c r="G47" s="636" t="s">
        <v>627</v>
      </c>
      <c r="H47" s="636" t="s">
        <v>628</v>
      </c>
      <c r="I47" s="636" t="s">
        <v>629</v>
      </c>
      <c r="J47" s="636" t="s">
        <v>630</v>
      </c>
      <c r="K47" s="636" t="s">
        <v>631</v>
      </c>
    </row>
    <row r="48" spans="1:12" ht="14.65" customHeight="1" thickBot="1">
      <c r="B48" s="614" t="s">
        <v>669</v>
      </c>
      <c r="C48" s="615">
        <v>0</v>
      </c>
      <c r="D48" s="609">
        <f>+C48*K$36</f>
        <v>0</v>
      </c>
      <c r="E48" s="609">
        <f>+C48*K$37</f>
        <v>0</v>
      </c>
      <c r="F48" s="609">
        <f>+C48*K$38</f>
        <v>0</v>
      </c>
      <c r="G48" s="609">
        <f>+C48*K$39</f>
        <v>0</v>
      </c>
      <c r="H48" s="609">
        <f>+C48*K$40</f>
        <v>0</v>
      </c>
      <c r="I48" s="609">
        <f>+C48*K$41</f>
        <v>0</v>
      </c>
      <c r="J48" s="609">
        <f>+C48*K$42</f>
        <v>0</v>
      </c>
      <c r="K48" s="609">
        <f>+C48*K$43</f>
        <v>0</v>
      </c>
    </row>
    <row r="49" spans="1:12" ht="15.75" thickBot="1">
      <c r="A49" s="689" t="s">
        <v>670</v>
      </c>
      <c r="B49" s="616" t="s">
        <v>671</v>
      </c>
      <c r="C49" s="617">
        <v>2</v>
      </c>
      <c r="D49" s="609">
        <f>+C49*J$36</f>
        <v>15722</v>
      </c>
      <c r="E49" s="609">
        <f t="shared" ref="E49:E112" si="7">+C49*K$37</f>
        <v>17794.666666666668</v>
      </c>
      <c r="F49" s="609">
        <f t="shared" ref="F49:F112" si="8">+C49*K$38</f>
        <v>18259.333333333332</v>
      </c>
      <c r="G49" s="609">
        <f t="shared" ref="G49:G112" si="9">+C49*K$39</f>
        <v>22057.333333333332</v>
      </c>
      <c r="H49" s="609">
        <f t="shared" ref="H49:H112" si="10">+C49*K$40</f>
        <v>25739.333333333332</v>
      </c>
      <c r="I49" s="609">
        <f t="shared" ref="I49:I112" si="11">+C49*K$41</f>
        <v>27769.333333333332</v>
      </c>
      <c r="J49" s="609">
        <f t="shared" ref="J49:J112" si="12">+C49*K$42</f>
        <v>36330</v>
      </c>
      <c r="K49" s="609">
        <f t="shared" ref="K49:K112" si="13">+C49*K$43</f>
        <v>0</v>
      </c>
    </row>
    <row r="50" spans="1:12" ht="15.75" thickBot="1">
      <c r="A50" s="689" t="s">
        <v>670</v>
      </c>
      <c r="B50" s="616" t="s">
        <v>672</v>
      </c>
      <c r="C50" s="617">
        <v>5</v>
      </c>
      <c r="D50" s="609">
        <f t="shared" ref="D50:D113" si="14">+C50*J$36</f>
        <v>39305</v>
      </c>
      <c r="E50" s="609">
        <f t="shared" si="7"/>
        <v>44486.666666666672</v>
      </c>
      <c r="F50" s="609">
        <f t="shared" si="8"/>
        <v>45648.333333333328</v>
      </c>
      <c r="G50" s="609">
        <f t="shared" si="9"/>
        <v>55143.333333333328</v>
      </c>
      <c r="H50" s="609">
        <f t="shared" si="10"/>
        <v>64348.333333333328</v>
      </c>
      <c r="I50" s="609">
        <f t="shared" si="11"/>
        <v>69423.333333333328</v>
      </c>
      <c r="J50" s="609">
        <f t="shared" si="12"/>
        <v>90825</v>
      </c>
      <c r="K50" s="609">
        <f t="shared" si="13"/>
        <v>0</v>
      </c>
    </row>
    <row r="51" spans="1:12" ht="15.75" thickBot="1">
      <c r="A51" s="689" t="s">
        <v>670</v>
      </c>
      <c r="B51" s="616" t="s">
        <v>673</v>
      </c>
      <c r="C51" s="617">
        <v>5</v>
      </c>
      <c r="D51" s="609">
        <f t="shared" si="14"/>
        <v>39305</v>
      </c>
      <c r="E51" s="609">
        <f t="shared" si="7"/>
        <v>44486.666666666672</v>
      </c>
      <c r="F51" s="609">
        <f t="shared" si="8"/>
        <v>45648.333333333328</v>
      </c>
      <c r="G51" s="609">
        <f t="shared" si="9"/>
        <v>55143.333333333328</v>
      </c>
      <c r="H51" s="609">
        <f t="shared" si="10"/>
        <v>64348.333333333328</v>
      </c>
      <c r="I51" s="609">
        <f t="shared" si="11"/>
        <v>69423.333333333328</v>
      </c>
      <c r="J51" s="609">
        <f t="shared" si="12"/>
        <v>90825</v>
      </c>
      <c r="K51" s="609">
        <f t="shared" si="13"/>
        <v>0</v>
      </c>
    </row>
    <row r="52" spans="1:12" ht="15.75" thickBot="1">
      <c r="A52" s="689" t="s">
        <v>670</v>
      </c>
      <c r="B52" s="616" t="s">
        <v>674</v>
      </c>
      <c r="C52" s="617">
        <v>7.5</v>
      </c>
      <c r="D52" s="609">
        <f t="shared" si="14"/>
        <v>58957.5</v>
      </c>
      <c r="E52" s="609">
        <f t="shared" si="7"/>
        <v>66730</v>
      </c>
      <c r="F52" s="609">
        <f t="shared" si="8"/>
        <v>68472.5</v>
      </c>
      <c r="G52" s="609">
        <f t="shared" si="9"/>
        <v>82715</v>
      </c>
      <c r="H52" s="609">
        <f t="shared" si="10"/>
        <v>96522.5</v>
      </c>
      <c r="I52" s="609">
        <f t="shared" si="11"/>
        <v>104135</v>
      </c>
      <c r="J52" s="609">
        <f t="shared" si="12"/>
        <v>136237.5</v>
      </c>
      <c r="K52" s="609">
        <f t="shared" si="13"/>
        <v>0</v>
      </c>
    </row>
    <row r="53" spans="1:12" ht="15.75" thickBot="1">
      <c r="A53" s="689" t="s">
        <v>670</v>
      </c>
      <c r="B53" s="616" t="s">
        <v>675</v>
      </c>
      <c r="C53" s="617">
        <v>9.5</v>
      </c>
      <c r="D53" s="609">
        <f t="shared" si="14"/>
        <v>74679.5</v>
      </c>
      <c r="E53" s="609">
        <f t="shared" si="7"/>
        <v>84524.666666666672</v>
      </c>
      <c r="F53" s="609">
        <f t="shared" si="8"/>
        <v>86731.833333333328</v>
      </c>
      <c r="G53" s="609">
        <f t="shared" si="9"/>
        <v>104772.33333333333</v>
      </c>
      <c r="H53" s="609">
        <f t="shared" si="10"/>
        <v>122261.83333333333</v>
      </c>
      <c r="I53" s="609">
        <f t="shared" si="11"/>
        <v>131904.33333333331</v>
      </c>
      <c r="J53" s="609">
        <f t="shared" si="12"/>
        <v>172567.5</v>
      </c>
      <c r="K53" s="609">
        <f t="shared" si="13"/>
        <v>0</v>
      </c>
    </row>
    <row r="54" spans="1:12" ht="15.75" thickBot="1">
      <c r="A54" s="689" t="s">
        <v>670</v>
      </c>
      <c r="B54" s="616" t="s">
        <v>676</v>
      </c>
      <c r="C54" s="617">
        <v>10.6</v>
      </c>
      <c r="D54" s="609">
        <f t="shared" si="14"/>
        <v>83326.599999999991</v>
      </c>
      <c r="E54" s="609">
        <f t="shared" si="7"/>
        <v>94311.733333333337</v>
      </c>
      <c r="F54" s="609">
        <f t="shared" si="8"/>
        <v>96774.46666666666</v>
      </c>
      <c r="G54" s="609">
        <f t="shared" si="9"/>
        <v>116903.86666666665</v>
      </c>
      <c r="H54" s="609">
        <f t="shared" si="10"/>
        <v>136418.46666666665</v>
      </c>
      <c r="I54" s="609">
        <f t="shared" si="11"/>
        <v>147177.46666666665</v>
      </c>
      <c r="J54" s="609">
        <f t="shared" si="12"/>
        <v>192549</v>
      </c>
      <c r="K54" s="609">
        <f t="shared" si="13"/>
        <v>0</v>
      </c>
    </row>
    <row r="55" spans="1:12" ht="15.75" thickBot="1">
      <c r="A55" s="689" t="s">
        <v>670</v>
      </c>
      <c r="B55" s="616" t="s">
        <v>677</v>
      </c>
      <c r="C55" s="617">
        <v>16.2</v>
      </c>
      <c r="D55" s="609">
        <f t="shared" si="14"/>
        <v>127348.2</v>
      </c>
      <c r="E55" s="609">
        <f t="shared" si="7"/>
        <v>144136.80000000002</v>
      </c>
      <c r="F55" s="609">
        <f t="shared" si="8"/>
        <v>147900.59999999998</v>
      </c>
      <c r="G55" s="609">
        <f t="shared" si="9"/>
        <v>178664.4</v>
      </c>
      <c r="H55" s="609">
        <f t="shared" si="10"/>
        <v>208488.59999999998</v>
      </c>
      <c r="I55" s="609">
        <f t="shared" si="11"/>
        <v>224931.59999999998</v>
      </c>
      <c r="J55" s="609">
        <f t="shared" si="12"/>
        <v>294273</v>
      </c>
      <c r="K55" s="609">
        <f t="shared" si="13"/>
        <v>0</v>
      </c>
    </row>
    <row r="56" spans="1:12" ht="15.75" thickBot="1">
      <c r="A56" s="689" t="s">
        <v>670</v>
      </c>
      <c r="B56" s="616" t="s">
        <v>678</v>
      </c>
      <c r="C56" s="617">
        <v>17.8</v>
      </c>
      <c r="D56" s="609">
        <f t="shared" si="14"/>
        <v>139925.80000000002</v>
      </c>
      <c r="E56" s="609">
        <f t="shared" si="7"/>
        <v>158372.53333333335</v>
      </c>
      <c r="F56" s="609">
        <f t="shared" si="8"/>
        <v>162508.06666666665</v>
      </c>
      <c r="G56" s="609">
        <f t="shared" si="9"/>
        <v>196310.26666666666</v>
      </c>
      <c r="H56" s="609">
        <f t="shared" si="10"/>
        <v>229080.06666666665</v>
      </c>
      <c r="I56" s="609">
        <f t="shared" si="11"/>
        <v>247147.06666666668</v>
      </c>
      <c r="J56" s="609">
        <f t="shared" si="12"/>
        <v>323337</v>
      </c>
      <c r="K56" s="609">
        <f t="shared" si="13"/>
        <v>0</v>
      </c>
    </row>
    <row r="57" spans="1:12" ht="15.75" thickBot="1">
      <c r="A57" s="689" t="s">
        <v>670</v>
      </c>
      <c r="B57" s="616" t="s">
        <v>679</v>
      </c>
      <c r="C57" s="617">
        <v>21.6</v>
      </c>
      <c r="D57" s="609">
        <f t="shared" si="14"/>
        <v>169797.6</v>
      </c>
      <c r="E57" s="609">
        <f t="shared" si="7"/>
        <v>192182.40000000002</v>
      </c>
      <c r="F57" s="609">
        <f t="shared" si="8"/>
        <v>197200.8</v>
      </c>
      <c r="G57" s="609">
        <f t="shared" si="9"/>
        <v>238219.2</v>
      </c>
      <c r="H57" s="609">
        <f t="shared" si="10"/>
        <v>277984.8</v>
      </c>
      <c r="I57" s="609">
        <f t="shared" si="11"/>
        <v>299908.8</v>
      </c>
      <c r="J57" s="609">
        <f t="shared" si="12"/>
        <v>392364</v>
      </c>
      <c r="K57" s="609">
        <f t="shared" si="13"/>
        <v>0</v>
      </c>
    </row>
    <row r="58" spans="1:12" ht="15.75" thickBot="1">
      <c r="A58" s="689" t="s">
        <v>670</v>
      </c>
      <c r="B58" s="616" t="s">
        <v>680</v>
      </c>
      <c r="C58" s="617">
        <v>30.3</v>
      </c>
      <c r="D58" s="609">
        <f t="shared" si="14"/>
        <v>238188.30000000002</v>
      </c>
      <c r="E58" s="609">
        <f t="shared" si="7"/>
        <v>269589.2</v>
      </c>
      <c r="F58" s="609">
        <f t="shared" si="8"/>
        <v>276628.89999999997</v>
      </c>
      <c r="G58" s="609">
        <f t="shared" si="9"/>
        <v>334168.59999999998</v>
      </c>
      <c r="H58" s="609">
        <f t="shared" si="10"/>
        <v>389950.89999999997</v>
      </c>
      <c r="I58" s="609">
        <f t="shared" si="11"/>
        <v>420705.39999999997</v>
      </c>
      <c r="J58" s="609">
        <f t="shared" si="12"/>
        <v>550399.5</v>
      </c>
      <c r="K58" s="609">
        <f t="shared" si="13"/>
        <v>0</v>
      </c>
    </row>
    <row r="59" spans="1:12" ht="15.75" thickBot="1">
      <c r="A59" s="689" t="s">
        <v>670</v>
      </c>
      <c r="B59" s="616" t="s">
        <v>681</v>
      </c>
      <c r="C59" s="617">
        <v>51</v>
      </c>
      <c r="D59" s="609">
        <f t="shared" si="14"/>
        <v>400911</v>
      </c>
      <c r="E59" s="609">
        <f t="shared" si="7"/>
        <v>453764.00000000006</v>
      </c>
      <c r="F59" s="609">
        <f t="shared" si="8"/>
        <v>465612.99999999994</v>
      </c>
      <c r="G59" s="609">
        <f t="shared" si="9"/>
        <v>562462</v>
      </c>
      <c r="H59" s="609">
        <f t="shared" si="10"/>
        <v>656353</v>
      </c>
      <c r="I59" s="609">
        <f t="shared" si="11"/>
        <v>708118</v>
      </c>
      <c r="J59" s="609">
        <f t="shared" si="12"/>
        <v>926415</v>
      </c>
      <c r="K59" s="609">
        <f t="shared" si="13"/>
        <v>0</v>
      </c>
      <c r="L59" s="469">
        <f>+(52+49+52)/3</f>
        <v>51</v>
      </c>
    </row>
    <row r="60" spans="1:12" ht="15.75" thickBot="1">
      <c r="A60" s="689" t="s">
        <v>670</v>
      </c>
      <c r="B60" s="616" t="s">
        <v>682</v>
      </c>
      <c r="C60" s="617">
        <v>31.9</v>
      </c>
      <c r="D60" s="609">
        <f t="shared" si="14"/>
        <v>250765.9</v>
      </c>
      <c r="E60" s="609">
        <f t="shared" si="7"/>
        <v>283824.93333333335</v>
      </c>
      <c r="F60" s="609">
        <f t="shared" si="8"/>
        <v>291236.36666666664</v>
      </c>
      <c r="G60" s="609">
        <f t="shared" si="9"/>
        <v>351814.46666666662</v>
      </c>
      <c r="H60" s="609">
        <f t="shared" si="10"/>
        <v>410542.36666666664</v>
      </c>
      <c r="I60" s="609">
        <f t="shared" si="11"/>
        <v>442920.86666666664</v>
      </c>
      <c r="J60" s="609">
        <f t="shared" si="12"/>
        <v>579463.5</v>
      </c>
      <c r="K60" s="609">
        <f t="shared" si="13"/>
        <v>0</v>
      </c>
    </row>
    <row r="61" spans="1:12" ht="15.75" thickBot="1">
      <c r="A61" s="689" t="s">
        <v>670</v>
      </c>
      <c r="B61" s="616" t="s">
        <v>683</v>
      </c>
      <c r="C61" s="617">
        <v>32.299999999999997</v>
      </c>
      <c r="D61" s="609">
        <f t="shared" si="14"/>
        <v>253910.3</v>
      </c>
      <c r="E61" s="609">
        <f t="shared" si="7"/>
        <v>287383.86666666664</v>
      </c>
      <c r="F61" s="609">
        <f t="shared" si="8"/>
        <v>294888.23333333328</v>
      </c>
      <c r="G61" s="609">
        <f t="shared" si="9"/>
        <v>356225.93333333329</v>
      </c>
      <c r="H61" s="609">
        <f t="shared" si="10"/>
        <v>415690.23333333328</v>
      </c>
      <c r="I61" s="609">
        <f t="shared" si="11"/>
        <v>448474.73333333328</v>
      </c>
      <c r="J61" s="609">
        <f t="shared" si="12"/>
        <v>586729.5</v>
      </c>
      <c r="K61" s="609">
        <f t="shared" si="13"/>
        <v>0</v>
      </c>
    </row>
    <row r="62" spans="1:12" ht="15.75" thickBot="1">
      <c r="A62" s="689" t="s">
        <v>670</v>
      </c>
      <c r="B62" s="616" t="s">
        <v>684</v>
      </c>
      <c r="C62" s="617">
        <v>33.1</v>
      </c>
      <c r="D62" s="609">
        <f t="shared" si="14"/>
        <v>260199.1</v>
      </c>
      <c r="E62" s="609">
        <f t="shared" si="7"/>
        <v>294501.73333333334</v>
      </c>
      <c r="F62" s="609">
        <f t="shared" si="8"/>
        <v>302191.96666666667</v>
      </c>
      <c r="G62" s="609">
        <f t="shared" si="9"/>
        <v>365048.86666666664</v>
      </c>
      <c r="H62" s="609">
        <f t="shared" si="10"/>
        <v>425985.96666666667</v>
      </c>
      <c r="I62" s="609">
        <f t="shared" si="11"/>
        <v>459582.46666666667</v>
      </c>
      <c r="J62" s="609">
        <f t="shared" si="12"/>
        <v>601261.5</v>
      </c>
      <c r="K62" s="609">
        <f t="shared" si="13"/>
        <v>0</v>
      </c>
    </row>
    <row r="63" spans="1:12" ht="15.75" thickBot="1">
      <c r="A63" s="689" t="s">
        <v>670</v>
      </c>
      <c r="B63" s="616" t="s">
        <v>685</v>
      </c>
      <c r="C63" s="617">
        <v>33.5</v>
      </c>
      <c r="D63" s="609">
        <f t="shared" si="14"/>
        <v>263343.5</v>
      </c>
      <c r="E63" s="609">
        <f t="shared" si="7"/>
        <v>298060.66666666669</v>
      </c>
      <c r="F63" s="609">
        <f t="shared" si="8"/>
        <v>305843.83333333331</v>
      </c>
      <c r="G63" s="609">
        <f t="shared" si="9"/>
        <v>369460.33333333331</v>
      </c>
      <c r="H63" s="609">
        <f t="shared" si="10"/>
        <v>431133.83333333331</v>
      </c>
      <c r="I63" s="609">
        <f t="shared" si="11"/>
        <v>465136.33333333331</v>
      </c>
      <c r="J63" s="609">
        <f t="shared" si="12"/>
        <v>608527.5</v>
      </c>
      <c r="K63" s="609">
        <f t="shared" si="13"/>
        <v>0</v>
      </c>
    </row>
    <row r="64" spans="1:12" ht="15.75" thickBot="1">
      <c r="A64" s="689" t="s">
        <v>670</v>
      </c>
      <c r="B64" s="616" t="s">
        <v>686</v>
      </c>
      <c r="C64" s="617">
        <v>48</v>
      </c>
      <c r="D64" s="609">
        <f t="shared" si="14"/>
        <v>377328</v>
      </c>
      <c r="E64" s="609">
        <f t="shared" si="7"/>
        <v>427072</v>
      </c>
      <c r="F64" s="609">
        <f t="shared" si="8"/>
        <v>438224</v>
      </c>
      <c r="G64" s="609">
        <f t="shared" si="9"/>
        <v>529376</v>
      </c>
      <c r="H64" s="609">
        <f t="shared" si="10"/>
        <v>617744</v>
      </c>
      <c r="I64" s="609">
        <f t="shared" si="11"/>
        <v>666464</v>
      </c>
      <c r="J64" s="609">
        <f t="shared" si="12"/>
        <v>871920</v>
      </c>
      <c r="K64" s="609">
        <f t="shared" si="13"/>
        <v>0</v>
      </c>
      <c r="L64" s="469">
        <f>(44+44+56)/3</f>
        <v>48</v>
      </c>
    </row>
    <row r="65" spans="1:12" ht="15.75" thickBot="1">
      <c r="A65" s="689" t="s">
        <v>670</v>
      </c>
      <c r="B65" s="616" t="s">
        <v>687</v>
      </c>
      <c r="C65" s="617">
        <v>40.9</v>
      </c>
      <c r="D65" s="609">
        <f t="shared" si="14"/>
        <v>321514.89999999997</v>
      </c>
      <c r="E65" s="609">
        <f t="shared" si="7"/>
        <v>363900.93333333335</v>
      </c>
      <c r="F65" s="609">
        <f t="shared" si="8"/>
        <v>373403.36666666664</v>
      </c>
      <c r="G65" s="609">
        <f t="shared" si="9"/>
        <v>451072.46666666662</v>
      </c>
      <c r="H65" s="609">
        <f t="shared" si="10"/>
        <v>526369.36666666658</v>
      </c>
      <c r="I65" s="609">
        <f t="shared" si="11"/>
        <v>567882.86666666658</v>
      </c>
      <c r="J65" s="609">
        <f t="shared" si="12"/>
        <v>742948.5</v>
      </c>
      <c r="K65" s="609">
        <f t="shared" si="13"/>
        <v>0</v>
      </c>
    </row>
    <row r="66" spans="1:12" ht="15.75" thickBot="1">
      <c r="A66" s="689" t="s">
        <v>670</v>
      </c>
      <c r="B66" s="616" t="s">
        <v>688</v>
      </c>
      <c r="C66" s="617">
        <v>42.3</v>
      </c>
      <c r="D66" s="609">
        <f t="shared" si="14"/>
        <v>332520.3</v>
      </c>
      <c r="E66" s="609">
        <f t="shared" si="7"/>
        <v>376357.2</v>
      </c>
      <c r="F66" s="609">
        <f t="shared" si="8"/>
        <v>386184.89999999997</v>
      </c>
      <c r="G66" s="609">
        <f t="shared" si="9"/>
        <v>466512.59999999992</v>
      </c>
      <c r="H66" s="609">
        <f t="shared" si="10"/>
        <v>544386.89999999991</v>
      </c>
      <c r="I66" s="609">
        <f t="shared" si="11"/>
        <v>587321.39999999991</v>
      </c>
      <c r="J66" s="609">
        <f t="shared" si="12"/>
        <v>768379.5</v>
      </c>
      <c r="K66" s="609">
        <f t="shared" si="13"/>
        <v>0</v>
      </c>
    </row>
    <row r="67" spans="1:12" ht="15.75" thickBot="1">
      <c r="A67" s="689" t="s">
        <v>670</v>
      </c>
      <c r="B67" s="616" t="s">
        <v>689</v>
      </c>
      <c r="C67" s="617">
        <v>42.8</v>
      </c>
      <c r="D67" s="609">
        <f t="shared" si="14"/>
        <v>336450.8</v>
      </c>
      <c r="E67" s="609">
        <f t="shared" si="7"/>
        <v>380805.86666666664</v>
      </c>
      <c r="F67" s="609">
        <f t="shared" si="8"/>
        <v>390749.73333333328</v>
      </c>
      <c r="G67" s="609">
        <f t="shared" si="9"/>
        <v>472026.93333333329</v>
      </c>
      <c r="H67" s="609">
        <f t="shared" si="10"/>
        <v>550821.73333333328</v>
      </c>
      <c r="I67" s="609">
        <f t="shared" si="11"/>
        <v>594263.73333333328</v>
      </c>
      <c r="J67" s="609">
        <f t="shared" si="12"/>
        <v>777462</v>
      </c>
      <c r="K67" s="609">
        <f t="shared" si="13"/>
        <v>0</v>
      </c>
    </row>
    <row r="68" spans="1:12" ht="15.75" thickBot="1">
      <c r="A68" s="689" t="s">
        <v>670</v>
      </c>
      <c r="B68" s="616" t="s">
        <v>632</v>
      </c>
      <c r="C68" s="617">
        <v>52</v>
      </c>
      <c r="D68" s="609">
        <f t="shared" si="14"/>
        <v>408772</v>
      </c>
      <c r="E68" s="609">
        <f t="shared" si="7"/>
        <v>462661.33333333337</v>
      </c>
      <c r="F68" s="609">
        <f t="shared" si="8"/>
        <v>474742.66666666663</v>
      </c>
      <c r="G68" s="609">
        <f t="shared" si="9"/>
        <v>573490.66666666663</v>
      </c>
      <c r="H68" s="609">
        <f t="shared" si="10"/>
        <v>669222.66666666663</v>
      </c>
      <c r="I68" s="609">
        <f t="shared" si="11"/>
        <v>722002.66666666663</v>
      </c>
      <c r="J68" s="609">
        <f t="shared" si="12"/>
        <v>944580</v>
      </c>
      <c r="K68" s="609">
        <f t="shared" si="13"/>
        <v>0</v>
      </c>
    </row>
    <row r="69" spans="1:12" ht="15.75" thickBot="1">
      <c r="A69" s="689" t="s">
        <v>670</v>
      </c>
      <c r="B69" s="616" t="s">
        <v>690</v>
      </c>
      <c r="C69" s="617">
        <v>46.2</v>
      </c>
      <c r="D69" s="609">
        <f t="shared" si="14"/>
        <v>363178.2</v>
      </c>
      <c r="E69" s="609">
        <f t="shared" si="7"/>
        <v>411056.80000000005</v>
      </c>
      <c r="F69" s="609">
        <f t="shared" si="8"/>
        <v>421790.6</v>
      </c>
      <c r="G69" s="609">
        <f t="shared" si="9"/>
        <v>509524.4</v>
      </c>
      <c r="H69" s="609">
        <f t="shared" si="10"/>
        <v>594578.6</v>
      </c>
      <c r="I69" s="609">
        <f t="shared" si="11"/>
        <v>641471.6</v>
      </c>
      <c r="J69" s="609">
        <f t="shared" si="12"/>
        <v>839223</v>
      </c>
      <c r="K69" s="609">
        <f t="shared" si="13"/>
        <v>0</v>
      </c>
    </row>
    <row r="70" spans="1:12" ht="15.75" thickBot="1">
      <c r="A70" s="689" t="s">
        <v>670</v>
      </c>
      <c r="B70" s="618" t="s">
        <v>691</v>
      </c>
      <c r="C70" s="631">
        <v>62</v>
      </c>
      <c r="D70" s="609">
        <f t="shared" si="14"/>
        <v>487382</v>
      </c>
      <c r="E70" s="609">
        <f t="shared" si="7"/>
        <v>551634.66666666674</v>
      </c>
      <c r="F70" s="609">
        <f t="shared" si="8"/>
        <v>566039.33333333326</v>
      </c>
      <c r="G70" s="609">
        <f t="shared" si="9"/>
        <v>683777.33333333326</v>
      </c>
      <c r="H70" s="609">
        <f t="shared" si="10"/>
        <v>797919.33333333326</v>
      </c>
      <c r="I70" s="609">
        <f t="shared" si="11"/>
        <v>860849.33333333326</v>
      </c>
      <c r="J70" s="609">
        <f t="shared" si="12"/>
        <v>1126230</v>
      </c>
      <c r="K70" s="609">
        <f t="shared" si="13"/>
        <v>0</v>
      </c>
      <c r="L70" s="469">
        <f>+(56+68)/2</f>
        <v>62</v>
      </c>
    </row>
    <row r="71" spans="1:12" ht="15.75" thickBot="1">
      <c r="A71" s="689" t="s">
        <v>670</v>
      </c>
      <c r="B71" s="618" t="s">
        <v>692</v>
      </c>
      <c r="C71" s="619">
        <v>51.2</v>
      </c>
      <c r="D71" s="609">
        <f t="shared" si="14"/>
        <v>402483.20000000001</v>
      </c>
      <c r="E71" s="609">
        <f t="shared" si="7"/>
        <v>455543.46666666673</v>
      </c>
      <c r="F71" s="609">
        <f t="shared" si="8"/>
        <v>467438.93333333335</v>
      </c>
      <c r="G71" s="609">
        <f t="shared" si="9"/>
        <v>564667.73333333328</v>
      </c>
      <c r="H71" s="609">
        <f t="shared" si="10"/>
        <v>658926.93333333335</v>
      </c>
      <c r="I71" s="609">
        <f t="shared" si="11"/>
        <v>710894.93333333335</v>
      </c>
      <c r="J71" s="609">
        <f t="shared" si="12"/>
        <v>930048</v>
      </c>
      <c r="K71" s="609">
        <f t="shared" si="13"/>
        <v>0</v>
      </c>
    </row>
    <row r="72" spans="1:12" ht="15.75" thickBot="1">
      <c r="A72" s="689" t="s">
        <v>670</v>
      </c>
      <c r="B72" s="618" t="s">
        <v>693</v>
      </c>
      <c r="C72" s="619">
        <v>51.3</v>
      </c>
      <c r="D72" s="609">
        <f t="shared" si="14"/>
        <v>403269.3</v>
      </c>
      <c r="E72" s="609">
        <f t="shared" si="7"/>
        <v>456433.2</v>
      </c>
      <c r="F72" s="609">
        <f t="shared" si="8"/>
        <v>468351.89999999997</v>
      </c>
      <c r="G72" s="609">
        <f t="shared" si="9"/>
        <v>565770.6</v>
      </c>
      <c r="H72" s="609">
        <f t="shared" si="10"/>
        <v>660213.89999999991</v>
      </c>
      <c r="I72" s="609">
        <f t="shared" si="11"/>
        <v>712283.39999999991</v>
      </c>
      <c r="J72" s="609">
        <f t="shared" si="12"/>
        <v>931864.5</v>
      </c>
      <c r="K72" s="609">
        <f t="shared" si="13"/>
        <v>0</v>
      </c>
    </row>
    <row r="73" spans="1:12" ht="15.75" thickBot="1">
      <c r="A73" s="689" t="s">
        <v>670</v>
      </c>
      <c r="B73" s="618" t="s">
        <v>694</v>
      </c>
      <c r="C73" s="619">
        <v>51.6</v>
      </c>
      <c r="D73" s="609">
        <f t="shared" si="14"/>
        <v>405627.60000000003</v>
      </c>
      <c r="E73" s="609">
        <f t="shared" si="7"/>
        <v>459102.4</v>
      </c>
      <c r="F73" s="609">
        <f t="shared" si="8"/>
        <v>471090.8</v>
      </c>
      <c r="G73" s="609">
        <f t="shared" si="9"/>
        <v>569079.19999999995</v>
      </c>
      <c r="H73" s="609">
        <f t="shared" si="10"/>
        <v>664074.79999999993</v>
      </c>
      <c r="I73" s="609">
        <f t="shared" si="11"/>
        <v>716448.8</v>
      </c>
      <c r="J73" s="609">
        <f t="shared" si="12"/>
        <v>937314</v>
      </c>
      <c r="K73" s="609">
        <f t="shared" si="13"/>
        <v>0</v>
      </c>
    </row>
    <row r="74" spans="1:12" ht="15.75" thickBot="1">
      <c r="A74" s="689" t="s">
        <v>670</v>
      </c>
      <c r="B74" s="618" t="s">
        <v>695</v>
      </c>
      <c r="C74" s="619">
        <v>56.4</v>
      </c>
      <c r="D74" s="609">
        <f t="shared" si="14"/>
        <v>443360.39999999997</v>
      </c>
      <c r="E74" s="609">
        <f t="shared" si="7"/>
        <v>501809.60000000003</v>
      </c>
      <c r="F74" s="609">
        <f t="shared" si="8"/>
        <v>514913.19999999995</v>
      </c>
      <c r="G74" s="609">
        <f t="shared" si="9"/>
        <v>622016.79999999993</v>
      </c>
      <c r="H74" s="609">
        <f t="shared" si="10"/>
        <v>725849.2</v>
      </c>
      <c r="I74" s="609">
        <f t="shared" si="11"/>
        <v>783095.2</v>
      </c>
      <c r="J74" s="609">
        <f t="shared" si="12"/>
        <v>1024506</v>
      </c>
      <c r="K74" s="609">
        <f t="shared" si="13"/>
        <v>0</v>
      </c>
    </row>
    <row r="75" spans="1:12" ht="15.75" thickBot="1">
      <c r="A75" s="689" t="s">
        <v>670</v>
      </c>
      <c r="B75" s="618" t="s">
        <v>696</v>
      </c>
      <c r="C75" s="619">
        <v>64.900000000000006</v>
      </c>
      <c r="D75" s="609">
        <f t="shared" si="14"/>
        <v>510178.9</v>
      </c>
      <c r="E75" s="609">
        <f t="shared" si="7"/>
        <v>577436.93333333347</v>
      </c>
      <c r="F75" s="609">
        <f t="shared" si="8"/>
        <v>592515.3666666667</v>
      </c>
      <c r="G75" s="609">
        <f t="shared" si="9"/>
        <v>715760.46666666667</v>
      </c>
      <c r="H75" s="609">
        <f t="shared" si="10"/>
        <v>835241.3666666667</v>
      </c>
      <c r="I75" s="609">
        <f t="shared" si="11"/>
        <v>901114.8666666667</v>
      </c>
      <c r="J75" s="609">
        <f t="shared" si="12"/>
        <v>1178908.5</v>
      </c>
      <c r="K75" s="609">
        <f t="shared" si="13"/>
        <v>0</v>
      </c>
    </row>
    <row r="76" spans="1:12" ht="15.75" thickBot="1">
      <c r="A76" s="689" t="s">
        <v>670</v>
      </c>
      <c r="B76" s="618" t="s">
        <v>697</v>
      </c>
      <c r="C76" s="631">
        <v>74</v>
      </c>
      <c r="D76" s="609">
        <f t="shared" si="14"/>
        <v>581714</v>
      </c>
      <c r="E76" s="609">
        <f t="shared" si="7"/>
        <v>658402.66666666674</v>
      </c>
      <c r="F76" s="609">
        <f t="shared" si="8"/>
        <v>675595.33333333326</v>
      </c>
      <c r="G76" s="609">
        <f t="shared" si="9"/>
        <v>816121.33333333326</v>
      </c>
      <c r="H76" s="609">
        <f t="shared" si="10"/>
        <v>952355.33333333326</v>
      </c>
      <c r="I76" s="609">
        <f t="shared" si="11"/>
        <v>1027465.3333333333</v>
      </c>
      <c r="J76" s="609">
        <f t="shared" si="12"/>
        <v>1344210</v>
      </c>
      <c r="K76" s="609">
        <f t="shared" si="13"/>
        <v>0</v>
      </c>
    </row>
    <row r="77" spans="1:12" ht="15.75" thickBot="1">
      <c r="A77" s="689" t="s">
        <v>670</v>
      </c>
      <c r="B77" s="618" t="s">
        <v>698</v>
      </c>
      <c r="C77" s="619">
        <v>72.400000000000006</v>
      </c>
      <c r="D77" s="609">
        <f t="shared" si="14"/>
        <v>569136.4</v>
      </c>
      <c r="E77" s="609">
        <f t="shared" si="7"/>
        <v>644166.93333333347</v>
      </c>
      <c r="F77" s="609">
        <f t="shared" si="8"/>
        <v>660987.8666666667</v>
      </c>
      <c r="G77" s="609">
        <f t="shared" si="9"/>
        <v>798475.46666666667</v>
      </c>
      <c r="H77" s="609">
        <f t="shared" si="10"/>
        <v>931763.8666666667</v>
      </c>
      <c r="I77" s="609">
        <f t="shared" si="11"/>
        <v>1005249.8666666667</v>
      </c>
      <c r="J77" s="609">
        <f t="shared" si="12"/>
        <v>1315146</v>
      </c>
      <c r="K77" s="609">
        <f t="shared" si="13"/>
        <v>0</v>
      </c>
    </row>
    <row r="78" spans="1:12" ht="15.75" thickBot="1">
      <c r="A78" s="689" t="s">
        <v>670</v>
      </c>
      <c r="B78" s="618" t="s">
        <v>699</v>
      </c>
      <c r="C78" s="619">
        <v>73.5</v>
      </c>
      <c r="D78" s="609">
        <f t="shared" si="14"/>
        <v>577783.5</v>
      </c>
      <c r="E78" s="609">
        <f t="shared" si="7"/>
        <v>653954</v>
      </c>
      <c r="F78" s="609">
        <f t="shared" si="8"/>
        <v>671030.5</v>
      </c>
      <c r="G78" s="609">
        <f t="shared" si="9"/>
        <v>810607</v>
      </c>
      <c r="H78" s="609">
        <f t="shared" si="10"/>
        <v>945920.5</v>
      </c>
      <c r="I78" s="609">
        <f t="shared" si="11"/>
        <v>1020523</v>
      </c>
      <c r="J78" s="609">
        <f t="shared" si="12"/>
        <v>1335127.5</v>
      </c>
      <c r="K78" s="609">
        <f t="shared" si="13"/>
        <v>0</v>
      </c>
    </row>
    <row r="79" spans="1:12" ht="15.75" thickBot="1">
      <c r="A79" s="689" t="s">
        <v>670</v>
      </c>
      <c r="B79" s="618" t="s">
        <v>700</v>
      </c>
      <c r="C79" s="631">
        <v>74</v>
      </c>
      <c r="D79" s="609">
        <f t="shared" si="14"/>
        <v>581714</v>
      </c>
      <c r="E79" s="609">
        <f t="shared" si="7"/>
        <v>658402.66666666674</v>
      </c>
      <c r="F79" s="609">
        <f t="shared" si="8"/>
        <v>675595.33333333326</v>
      </c>
      <c r="G79" s="609">
        <f t="shared" si="9"/>
        <v>816121.33333333326</v>
      </c>
      <c r="H79" s="609">
        <f t="shared" si="10"/>
        <v>952355.33333333326</v>
      </c>
      <c r="I79" s="609">
        <f t="shared" si="11"/>
        <v>1027465.3333333333</v>
      </c>
      <c r="J79" s="609">
        <f t="shared" si="12"/>
        <v>1344210</v>
      </c>
      <c r="K79" s="609">
        <f t="shared" si="13"/>
        <v>0</v>
      </c>
    </row>
    <row r="80" spans="1:12" ht="15.75" thickBot="1">
      <c r="A80" s="689" t="s">
        <v>670</v>
      </c>
      <c r="B80" s="618" t="s">
        <v>701</v>
      </c>
      <c r="C80" s="619">
        <v>79.099999999999994</v>
      </c>
      <c r="D80" s="609">
        <f t="shared" si="14"/>
        <v>621805.1</v>
      </c>
      <c r="E80" s="609">
        <f t="shared" si="7"/>
        <v>703779.06666666665</v>
      </c>
      <c r="F80" s="609">
        <f t="shared" si="8"/>
        <v>722156.63333333319</v>
      </c>
      <c r="G80" s="609">
        <f t="shared" si="9"/>
        <v>872367.53333333321</v>
      </c>
      <c r="H80" s="609">
        <f t="shared" si="10"/>
        <v>1017990.6333333332</v>
      </c>
      <c r="I80" s="609">
        <f t="shared" si="11"/>
        <v>1098277.1333333333</v>
      </c>
      <c r="J80" s="609">
        <f t="shared" si="12"/>
        <v>1436851.5</v>
      </c>
      <c r="K80" s="609">
        <f t="shared" si="13"/>
        <v>0</v>
      </c>
    </row>
    <row r="81" spans="1:11" ht="15.75" thickBot="1">
      <c r="A81" s="689" t="s">
        <v>670</v>
      </c>
      <c r="B81" s="618" t="s">
        <v>702</v>
      </c>
      <c r="C81" s="619">
        <v>85</v>
      </c>
      <c r="D81" s="609">
        <f t="shared" si="14"/>
        <v>668185</v>
      </c>
      <c r="E81" s="609">
        <f t="shared" si="7"/>
        <v>756273.33333333337</v>
      </c>
      <c r="F81" s="609">
        <f t="shared" si="8"/>
        <v>776021.66666666663</v>
      </c>
      <c r="G81" s="609">
        <f t="shared" si="9"/>
        <v>937436.66666666663</v>
      </c>
      <c r="H81" s="609">
        <f t="shared" si="10"/>
        <v>1093921.6666666665</v>
      </c>
      <c r="I81" s="609">
        <f t="shared" si="11"/>
        <v>1180196.6666666665</v>
      </c>
      <c r="J81" s="609">
        <f t="shared" si="12"/>
        <v>1544025</v>
      </c>
      <c r="K81" s="609">
        <f t="shared" si="13"/>
        <v>0</v>
      </c>
    </row>
    <row r="82" spans="1:11" ht="15.75" thickBot="1">
      <c r="A82" s="689" t="s">
        <v>670</v>
      </c>
      <c r="B82" s="618" t="s">
        <v>703</v>
      </c>
      <c r="C82" s="619">
        <v>86.2</v>
      </c>
      <c r="D82" s="609">
        <f t="shared" si="14"/>
        <v>677618.20000000007</v>
      </c>
      <c r="E82" s="609">
        <f t="shared" si="7"/>
        <v>766950.13333333342</v>
      </c>
      <c r="F82" s="609">
        <f t="shared" si="8"/>
        <v>786977.2666666666</v>
      </c>
      <c r="G82" s="609">
        <f t="shared" si="9"/>
        <v>950671.06666666665</v>
      </c>
      <c r="H82" s="609">
        <f t="shared" si="10"/>
        <v>1109365.2666666666</v>
      </c>
      <c r="I82" s="609">
        <f t="shared" si="11"/>
        <v>1196858.2666666666</v>
      </c>
      <c r="J82" s="609">
        <f t="shared" si="12"/>
        <v>1565823</v>
      </c>
      <c r="K82" s="609">
        <f t="shared" si="13"/>
        <v>0</v>
      </c>
    </row>
    <row r="83" spans="1:11" ht="15.75" thickBot="1">
      <c r="A83" s="689" t="s">
        <v>670</v>
      </c>
      <c r="B83" s="618" t="s">
        <v>704</v>
      </c>
      <c r="C83" s="619">
        <v>86.9</v>
      </c>
      <c r="D83" s="609">
        <f t="shared" si="14"/>
        <v>683120.9</v>
      </c>
      <c r="E83" s="609">
        <f t="shared" si="7"/>
        <v>773178.26666666672</v>
      </c>
      <c r="F83" s="609">
        <f t="shared" si="8"/>
        <v>793368.03333333333</v>
      </c>
      <c r="G83" s="609">
        <f t="shared" si="9"/>
        <v>958391.1333333333</v>
      </c>
      <c r="H83" s="609">
        <f t="shared" si="10"/>
        <v>1118374.0333333334</v>
      </c>
      <c r="I83" s="609">
        <f t="shared" si="11"/>
        <v>1206577.5333333334</v>
      </c>
      <c r="J83" s="609">
        <f t="shared" si="12"/>
        <v>1578538.5</v>
      </c>
      <c r="K83" s="609">
        <f t="shared" si="13"/>
        <v>0</v>
      </c>
    </row>
    <row r="84" spans="1:11" ht="15.75" thickBot="1">
      <c r="A84" s="689" t="s">
        <v>670</v>
      </c>
      <c r="B84" s="618" t="s">
        <v>705</v>
      </c>
      <c r="C84" s="619">
        <v>89.5</v>
      </c>
      <c r="D84" s="609">
        <f t="shared" si="14"/>
        <v>703559.5</v>
      </c>
      <c r="E84" s="609">
        <f t="shared" si="7"/>
        <v>796311.33333333337</v>
      </c>
      <c r="F84" s="609">
        <f t="shared" si="8"/>
        <v>817105.16666666663</v>
      </c>
      <c r="G84" s="609">
        <f t="shared" si="9"/>
        <v>987065.66666666663</v>
      </c>
      <c r="H84" s="609">
        <f t="shared" si="10"/>
        <v>1151835.1666666665</v>
      </c>
      <c r="I84" s="609">
        <f t="shared" si="11"/>
        <v>1242677.6666666665</v>
      </c>
      <c r="J84" s="609">
        <f t="shared" si="12"/>
        <v>1625767.5</v>
      </c>
      <c r="K84" s="609">
        <f t="shared" si="13"/>
        <v>0</v>
      </c>
    </row>
    <row r="85" spans="1:11" ht="15.75" thickBot="1">
      <c r="A85" s="689" t="s">
        <v>670</v>
      </c>
      <c r="B85" s="618" t="s">
        <v>706</v>
      </c>
      <c r="C85" s="619">
        <v>89.7</v>
      </c>
      <c r="D85" s="609">
        <f t="shared" si="14"/>
        <v>705131.70000000007</v>
      </c>
      <c r="E85" s="609">
        <f t="shared" si="7"/>
        <v>798090.8</v>
      </c>
      <c r="F85" s="609">
        <f t="shared" si="8"/>
        <v>818931.1</v>
      </c>
      <c r="G85" s="609">
        <f t="shared" si="9"/>
        <v>989271.4</v>
      </c>
      <c r="H85" s="609">
        <f t="shared" si="10"/>
        <v>1154409.1000000001</v>
      </c>
      <c r="I85" s="609">
        <f t="shared" si="11"/>
        <v>1245454.6000000001</v>
      </c>
      <c r="J85" s="609">
        <f t="shared" si="12"/>
        <v>1629400.5</v>
      </c>
      <c r="K85" s="609">
        <f t="shared" si="13"/>
        <v>0</v>
      </c>
    </row>
    <row r="86" spans="1:11" ht="15.75" thickBot="1">
      <c r="A86" s="689" t="s">
        <v>670</v>
      </c>
      <c r="B86" s="618" t="s">
        <v>707</v>
      </c>
      <c r="C86" s="619">
        <v>89.9</v>
      </c>
      <c r="D86" s="609">
        <f t="shared" si="14"/>
        <v>706703.9</v>
      </c>
      <c r="E86" s="609">
        <f t="shared" si="7"/>
        <v>799870.26666666672</v>
      </c>
      <c r="F86" s="609">
        <f t="shared" si="8"/>
        <v>820757.03333333333</v>
      </c>
      <c r="G86" s="609">
        <f t="shared" si="9"/>
        <v>991477.1333333333</v>
      </c>
      <c r="H86" s="609">
        <f t="shared" si="10"/>
        <v>1156983.0333333334</v>
      </c>
      <c r="I86" s="609">
        <f t="shared" si="11"/>
        <v>1248231.5333333334</v>
      </c>
      <c r="J86" s="609">
        <f t="shared" si="12"/>
        <v>1633033.5</v>
      </c>
      <c r="K86" s="609">
        <f t="shared" si="13"/>
        <v>0</v>
      </c>
    </row>
    <row r="87" spans="1:11" ht="15.75" thickBot="1">
      <c r="A87" s="689" t="s">
        <v>670</v>
      </c>
      <c r="B87" s="618" t="s">
        <v>708</v>
      </c>
      <c r="C87" s="619">
        <v>91.3</v>
      </c>
      <c r="D87" s="609">
        <f t="shared" si="14"/>
        <v>717709.29999999993</v>
      </c>
      <c r="E87" s="609">
        <f t="shared" si="7"/>
        <v>812326.53333333333</v>
      </c>
      <c r="F87" s="609">
        <f t="shared" si="8"/>
        <v>833538.56666666653</v>
      </c>
      <c r="G87" s="609">
        <f t="shared" si="9"/>
        <v>1006917.2666666666</v>
      </c>
      <c r="H87" s="609">
        <f t="shared" si="10"/>
        <v>1175000.5666666667</v>
      </c>
      <c r="I87" s="609">
        <f t="shared" si="11"/>
        <v>1267670.0666666667</v>
      </c>
      <c r="J87" s="609">
        <f t="shared" si="12"/>
        <v>1658464.5</v>
      </c>
      <c r="K87" s="609">
        <f t="shared" si="13"/>
        <v>0</v>
      </c>
    </row>
    <row r="88" spans="1:11" ht="15.75" thickBot="1">
      <c r="A88" s="689" t="s">
        <v>670</v>
      </c>
      <c r="B88" s="618" t="s">
        <v>709</v>
      </c>
      <c r="C88" s="619">
        <v>94.2</v>
      </c>
      <c r="D88" s="609">
        <f t="shared" si="14"/>
        <v>740506.20000000007</v>
      </c>
      <c r="E88" s="609">
        <f t="shared" si="7"/>
        <v>838128.8</v>
      </c>
      <c r="F88" s="609">
        <f t="shared" si="8"/>
        <v>860014.6</v>
      </c>
      <c r="G88" s="609">
        <f t="shared" si="9"/>
        <v>1038900.4</v>
      </c>
      <c r="H88" s="609">
        <f t="shared" si="10"/>
        <v>1212322.6000000001</v>
      </c>
      <c r="I88" s="609">
        <f t="shared" si="11"/>
        <v>1307935.6000000001</v>
      </c>
      <c r="J88" s="609">
        <f t="shared" si="12"/>
        <v>1711143</v>
      </c>
      <c r="K88" s="609">
        <f t="shared" si="13"/>
        <v>0</v>
      </c>
    </row>
    <row r="89" spans="1:11" ht="15.75" thickBot="1">
      <c r="A89" s="689" t="s">
        <v>670</v>
      </c>
      <c r="B89" s="618" t="s">
        <v>710</v>
      </c>
      <c r="C89" s="619">
        <v>94.3</v>
      </c>
      <c r="D89" s="609">
        <f t="shared" si="14"/>
        <v>741292.29999999993</v>
      </c>
      <c r="E89" s="609">
        <f t="shared" si="7"/>
        <v>839018.53333333333</v>
      </c>
      <c r="F89" s="609">
        <f t="shared" si="8"/>
        <v>860927.56666666653</v>
      </c>
      <c r="G89" s="609">
        <f t="shared" si="9"/>
        <v>1040003.2666666666</v>
      </c>
      <c r="H89" s="609">
        <f t="shared" si="10"/>
        <v>1213609.5666666667</v>
      </c>
      <c r="I89" s="609">
        <f t="shared" si="11"/>
        <v>1309324.0666666667</v>
      </c>
      <c r="J89" s="609">
        <f t="shared" si="12"/>
        <v>1712959.5</v>
      </c>
      <c r="K89" s="609">
        <f t="shared" si="13"/>
        <v>0</v>
      </c>
    </row>
    <row r="90" spans="1:11" ht="15.75" thickBot="1">
      <c r="A90" s="689" t="s">
        <v>670</v>
      </c>
      <c r="B90" s="618" t="s">
        <v>711</v>
      </c>
      <c r="C90" s="619">
        <v>95.2</v>
      </c>
      <c r="D90" s="609">
        <f t="shared" si="14"/>
        <v>748367.20000000007</v>
      </c>
      <c r="E90" s="609">
        <f t="shared" si="7"/>
        <v>847026.13333333342</v>
      </c>
      <c r="F90" s="609">
        <f t="shared" si="8"/>
        <v>869144.2666666666</v>
      </c>
      <c r="G90" s="609">
        <f t="shared" si="9"/>
        <v>1049929.0666666667</v>
      </c>
      <c r="H90" s="609">
        <f t="shared" si="10"/>
        <v>1225192.2666666666</v>
      </c>
      <c r="I90" s="609">
        <f t="shared" si="11"/>
        <v>1321820.2666666666</v>
      </c>
      <c r="J90" s="609">
        <f t="shared" si="12"/>
        <v>1729308</v>
      </c>
      <c r="K90" s="609">
        <f t="shared" si="13"/>
        <v>0</v>
      </c>
    </row>
    <row r="91" spans="1:11" ht="15.75" thickBot="1">
      <c r="A91" s="689" t="s">
        <v>670</v>
      </c>
      <c r="B91" s="618" t="s">
        <v>712</v>
      </c>
      <c r="C91" s="619">
        <v>96.8</v>
      </c>
      <c r="D91" s="609">
        <f t="shared" si="14"/>
        <v>760944.79999999993</v>
      </c>
      <c r="E91" s="609">
        <f t="shared" si="7"/>
        <v>861261.8666666667</v>
      </c>
      <c r="F91" s="609">
        <f t="shared" si="8"/>
        <v>883751.73333333328</v>
      </c>
      <c r="G91" s="609">
        <f t="shared" si="9"/>
        <v>1067574.9333333333</v>
      </c>
      <c r="H91" s="609">
        <f t="shared" si="10"/>
        <v>1245783.7333333332</v>
      </c>
      <c r="I91" s="609">
        <f t="shared" si="11"/>
        <v>1344035.7333333332</v>
      </c>
      <c r="J91" s="609">
        <f t="shared" si="12"/>
        <v>1758372</v>
      </c>
      <c r="K91" s="609">
        <f t="shared" si="13"/>
        <v>0</v>
      </c>
    </row>
    <row r="92" spans="1:11" ht="15.75" thickBot="1">
      <c r="A92" s="689" t="s">
        <v>670</v>
      </c>
      <c r="B92" s="618" t="s">
        <v>713</v>
      </c>
      <c r="C92" s="619">
        <v>103.5</v>
      </c>
      <c r="D92" s="609">
        <f t="shared" si="14"/>
        <v>813613.5</v>
      </c>
      <c r="E92" s="609">
        <f t="shared" si="7"/>
        <v>920874.00000000012</v>
      </c>
      <c r="F92" s="609">
        <f t="shared" si="8"/>
        <v>944920.49999999988</v>
      </c>
      <c r="G92" s="609">
        <f t="shared" si="9"/>
        <v>1141467</v>
      </c>
      <c r="H92" s="609">
        <f t="shared" si="10"/>
        <v>1332010.5</v>
      </c>
      <c r="I92" s="609">
        <f t="shared" si="11"/>
        <v>1437063</v>
      </c>
      <c r="J92" s="609">
        <f t="shared" si="12"/>
        <v>1880077.5</v>
      </c>
      <c r="K92" s="609">
        <f t="shared" si="13"/>
        <v>0</v>
      </c>
    </row>
    <row r="93" spans="1:11" ht="15.75" thickBot="1">
      <c r="A93" s="689" t="s">
        <v>670</v>
      </c>
      <c r="B93" s="618" t="s">
        <v>714</v>
      </c>
      <c r="C93" s="619">
        <v>105.1</v>
      </c>
      <c r="D93" s="609">
        <f t="shared" si="14"/>
        <v>826191.1</v>
      </c>
      <c r="E93" s="609">
        <f t="shared" si="7"/>
        <v>935109.7333333334</v>
      </c>
      <c r="F93" s="609">
        <f t="shared" si="8"/>
        <v>959527.96666666656</v>
      </c>
      <c r="G93" s="609">
        <f t="shared" si="9"/>
        <v>1159112.8666666665</v>
      </c>
      <c r="H93" s="609">
        <f t="shared" si="10"/>
        <v>1352601.9666666666</v>
      </c>
      <c r="I93" s="609">
        <f t="shared" si="11"/>
        <v>1459278.4666666666</v>
      </c>
      <c r="J93" s="609">
        <f t="shared" si="12"/>
        <v>1909141.5</v>
      </c>
      <c r="K93" s="609">
        <f t="shared" si="13"/>
        <v>0</v>
      </c>
    </row>
    <row r="94" spans="1:11" ht="15.75" thickBot="1">
      <c r="A94" s="689" t="s">
        <v>670</v>
      </c>
      <c r="B94" s="618" t="s">
        <v>715</v>
      </c>
      <c r="C94" s="619">
        <v>107.1</v>
      </c>
      <c r="D94" s="609">
        <f t="shared" si="14"/>
        <v>841913.1</v>
      </c>
      <c r="E94" s="609">
        <f t="shared" si="7"/>
        <v>952904.4</v>
      </c>
      <c r="F94" s="609">
        <f t="shared" si="8"/>
        <v>977787.29999999993</v>
      </c>
      <c r="G94" s="609">
        <f t="shared" si="9"/>
        <v>1181170.2</v>
      </c>
      <c r="H94" s="609">
        <f t="shared" si="10"/>
        <v>1378341.2999999998</v>
      </c>
      <c r="I94" s="609">
        <f t="shared" si="11"/>
        <v>1487047.7999999998</v>
      </c>
      <c r="J94" s="609">
        <f t="shared" si="12"/>
        <v>1945471.5</v>
      </c>
      <c r="K94" s="609">
        <f t="shared" si="13"/>
        <v>0</v>
      </c>
    </row>
    <row r="95" spans="1:11" ht="15.75" thickBot="1">
      <c r="A95" s="689" t="s">
        <v>670</v>
      </c>
      <c r="B95" s="618" t="s">
        <v>716</v>
      </c>
      <c r="C95" s="619">
        <v>107.4</v>
      </c>
      <c r="D95" s="609">
        <f t="shared" si="14"/>
        <v>844271.4</v>
      </c>
      <c r="E95" s="609">
        <f t="shared" si="7"/>
        <v>955573.60000000009</v>
      </c>
      <c r="F95" s="609">
        <f t="shared" si="8"/>
        <v>980526.2</v>
      </c>
      <c r="G95" s="609">
        <f t="shared" si="9"/>
        <v>1184478.8</v>
      </c>
      <c r="H95" s="609">
        <f t="shared" si="10"/>
        <v>1382202.2</v>
      </c>
      <c r="I95" s="609">
        <f t="shared" si="11"/>
        <v>1491213.2</v>
      </c>
      <c r="J95" s="609">
        <f t="shared" si="12"/>
        <v>1950921</v>
      </c>
      <c r="K95" s="609">
        <f t="shared" si="13"/>
        <v>0</v>
      </c>
    </row>
    <row r="96" spans="1:11" ht="15.75" thickBot="1">
      <c r="A96" s="689" t="s">
        <v>670</v>
      </c>
      <c r="B96" s="618" t="s">
        <v>717</v>
      </c>
      <c r="C96" s="619">
        <v>108.5</v>
      </c>
      <c r="D96" s="609">
        <f t="shared" si="14"/>
        <v>852918.5</v>
      </c>
      <c r="E96" s="609">
        <f t="shared" si="7"/>
        <v>965360.66666666674</v>
      </c>
      <c r="F96" s="609">
        <f t="shared" si="8"/>
        <v>990568.83333333326</v>
      </c>
      <c r="G96" s="609">
        <f t="shared" si="9"/>
        <v>1196610.3333333333</v>
      </c>
      <c r="H96" s="609">
        <f t="shared" si="10"/>
        <v>1396358.8333333333</v>
      </c>
      <c r="I96" s="609">
        <f t="shared" si="11"/>
        <v>1506486.3333333333</v>
      </c>
      <c r="J96" s="609">
        <f t="shared" si="12"/>
        <v>1970902.5</v>
      </c>
      <c r="K96" s="609">
        <f t="shared" si="13"/>
        <v>0</v>
      </c>
    </row>
    <row r="97" spans="1:11" ht="15.75" thickBot="1">
      <c r="A97" s="689" t="s">
        <v>670</v>
      </c>
      <c r="B97" s="618" t="s">
        <v>718</v>
      </c>
      <c r="C97" s="619">
        <v>110.1</v>
      </c>
      <c r="D97" s="609">
        <f t="shared" si="14"/>
        <v>865496.1</v>
      </c>
      <c r="E97" s="609">
        <f t="shared" si="7"/>
        <v>979596.4</v>
      </c>
      <c r="F97" s="609">
        <f t="shared" si="8"/>
        <v>1005176.2999999999</v>
      </c>
      <c r="G97" s="609">
        <f t="shared" si="9"/>
        <v>1214256.2</v>
      </c>
      <c r="H97" s="609">
        <f t="shared" si="10"/>
        <v>1416950.2999999998</v>
      </c>
      <c r="I97" s="609">
        <f t="shared" si="11"/>
        <v>1528701.7999999998</v>
      </c>
      <c r="J97" s="609">
        <f t="shared" si="12"/>
        <v>1999966.5</v>
      </c>
      <c r="K97" s="609">
        <f t="shared" si="13"/>
        <v>0</v>
      </c>
    </row>
    <row r="98" spans="1:11" ht="15.75" thickBot="1">
      <c r="A98" s="689" t="s">
        <v>670</v>
      </c>
      <c r="B98" s="618" t="s">
        <v>719</v>
      </c>
      <c r="C98" s="619">
        <v>110.3</v>
      </c>
      <c r="D98" s="609">
        <f t="shared" si="14"/>
        <v>867068.29999999993</v>
      </c>
      <c r="E98" s="609">
        <f t="shared" si="7"/>
        <v>981375.8666666667</v>
      </c>
      <c r="F98" s="609">
        <f t="shared" si="8"/>
        <v>1007002.2333333333</v>
      </c>
      <c r="G98" s="609">
        <f t="shared" si="9"/>
        <v>1216461.9333333333</v>
      </c>
      <c r="H98" s="609">
        <f t="shared" si="10"/>
        <v>1419524.2333333332</v>
      </c>
      <c r="I98" s="609">
        <f t="shared" si="11"/>
        <v>1531478.7333333332</v>
      </c>
      <c r="J98" s="609">
        <f t="shared" si="12"/>
        <v>2003599.5</v>
      </c>
      <c r="K98" s="609">
        <f t="shared" si="13"/>
        <v>0</v>
      </c>
    </row>
    <row r="99" spans="1:11" ht="15.75" thickBot="1">
      <c r="A99" s="689" t="s">
        <v>670</v>
      </c>
      <c r="B99" s="618" t="s">
        <v>720</v>
      </c>
      <c r="C99" s="619">
        <v>111.2</v>
      </c>
      <c r="D99" s="609">
        <f t="shared" si="14"/>
        <v>874143.20000000007</v>
      </c>
      <c r="E99" s="609">
        <f t="shared" si="7"/>
        <v>989383.46666666679</v>
      </c>
      <c r="F99" s="609">
        <f t="shared" si="8"/>
        <v>1015218.9333333333</v>
      </c>
      <c r="G99" s="609">
        <f t="shared" si="9"/>
        <v>1226387.7333333334</v>
      </c>
      <c r="H99" s="609">
        <f t="shared" si="10"/>
        <v>1431106.9333333333</v>
      </c>
      <c r="I99" s="609">
        <f t="shared" si="11"/>
        <v>1543974.9333333333</v>
      </c>
      <c r="J99" s="609">
        <f t="shared" si="12"/>
        <v>2019948</v>
      </c>
      <c r="K99" s="609">
        <f t="shared" si="13"/>
        <v>0</v>
      </c>
    </row>
    <row r="100" spans="1:11" ht="15.75" thickBot="1">
      <c r="A100" s="689" t="s">
        <v>670</v>
      </c>
      <c r="B100" s="618" t="s">
        <v>721</v>
      </c>
      <c r="C100" s="619">
        <v>111.7</v>
      </c>
      <c r="D100" s="609">
        <f t="shared" si="14"/>
        <v>878073.70000000007</v>
      </c>
      <c r="E100" s="609">
        <f t="shared" si="7"/>
        <v>993832.13333333342</v>
      </c>
      <c r="F100" s="609">
        <f t="shared" si="8"/>
        <v>1019783.7666666666</v>
      </c>
      <c r="G100" s="609">
        <f t="shared" si="9"/>
        <v>1231902.0666666667</v>
      </c>
      <c r="H100" s="609">
        <f t="shared" si="10"/>
        <v>1437541.7666666666</v>
      </c>
      <c r="I100" s="609">
        <f t="shared" si="11"/>
        <v>1550917.2666666666</v>
      </c>
      <c r="J100" s="609">
        <f t="shared" si="12"/>
        <v>2029030.5</v>
      </c>
      <c r="K100" s="609">
        <f t="shared" si="13"/>
        <v>0</v>
      </c>
    </row>
    <row r="101" spans="1:11" ht="15.75" thickBot="1">
      <c r="A101" s="689" t="s">
        <v>670</v>
      </c>
      <c r="B101" s="618" t="s">
        <v>722</v>
      </c>
      <c r="C101" s="619">
        <v>115</v>
      </c>
      <c r="D101" s="609">
        <f t="shared" si="14"/>
        <v>904015</v>
      </c>
      <c r="E101" s="609">
        <f t="shared" si="7"/>
        <v>1023193.3333333334</v>
      </c>
      <c r="F101" s="609">
        <f t="shared" si="8"/>
        <v>1049911.6666666665</v>
      </c>
      <c r="G101" s="609">
        <f t="shared" si="9"/>
        <v>1268296.6666666665</v>
      </c>
      <c r="H101" s="609">
        <f t="shared" si="10"/>
        <v>1480011.6666666665</v>
      </c>
      <c r="I101" s="609">
        <f t="shared" si="11"/>
        <v>1596736.6666666665</v>
      </c>
      <c r="J101" s="609">
        <f t="shared" si="12"/>
        <v>2088975</v>
      </c>
      <c r="K101" s="609">
        <f t="shared" si="13"/>
        <v>0</v>
      </c>
    </row>
    <row r="102" spans="1:11" ht="15.75" thickBot="1">
      <c r="A102" s="689" t="s">
        <v>670</v>
      </c>
      <c r="B102" s="618" t="s">
        <v>723</v>
      </c>
      <c r="C102" s="631">
        <v>118</v>
      </c>
      <c r="D102" s="609">
        <f t="shared" si="14"/>
        <v>927598</v>
      </c>
      <c r="E102" s="609">
        <f t="shared" si="7"/>
        <v>1049885.3333333335</v>
      </c>
      <c r="F102" s="609">
        <f t="shared" si="8"/>
        <v>1077300.6666666665</v>
      </c>
      <c r="G102" s="609">
        <f t="shared" si="9"/>
        <v>1301382.6666666665</v>
      </c>
      <c r="H102" s="609">
        <f t="shared" si="10"/>
        <v>1518620.6666666665</v>
      </c>
      <c r="I102" s="609">
        <f t="shared" si="11"/>
        <v>1638390.6666666665</v>
      </c>
      <c r="J102" s="609">
        <f t="shared" si="12"/>
        <v>2143470</v>
      </c>
      <c r="K102" s="609">
        <f t="shared" si="13"/>
        <v>0</v>
      </c>
    </row>
    <row r="103" spans="1:11" ht="15.75" thickBot="1">
      <c r="A103" s="689" t="s">
        <v>670</v>
      </c>
      <c r="B103" s="618" t="s">
        <v>724</v>
      </c>
      <c r="C103" s="619">
        <v>123.6</v>
      </c>
      <c r="D103" s="609">
        <f t="shared" si="14"/>
        <v>971619.6</v>
      </c>
      <c r="E103" s="609">
        <f t="shared" si="7"/>
        <v>1099710.4000000001</v>
      </c>
      <c r="F103" s="609">
        <f t="shared" si="8"/>
        <v>1128426.7999999998</v>
      </c>
      <c r="G103" s="609">
        <f t="shared" si="9"/>
        <v>1363143.2</v>
      </c>
      <c r="H103" s="609">
        <f t="shared" si="10"/>
        <v>1590690.7999999998</v>
      </c>
      <c r="I103" s="609">
        <f t="shared" si="11"/>
        <v>1716144.7999999998</v>
      </c>
      <c r="J103" s="609">
        <f t="shared" si="12"/>
        <v>2245194</v>
      </c>
      <c r="K103" s="609">
        <f t="shared" si="13"/>
        <v>0</v>
      </c>
    </row>
    <row r="104" spans="1:11" ht="15.75" thickBot="1">
      <c r="A104" s="689" t="s">
        <v>670</v>
      </c>
      <c r="B104" s="618" t="s">
        <v>725</v>
      </c>
      <c r="C104" s="619">
        <v>124.9</v>
      </c>
      <c r="D104" s="609">
        <f t="shared" si="14"/>
        <v>981838.9</v>
      </c>
      <c r="E104" s="609">
        <f t="shared" si="7"/>
        <v>1111276.9333333333</v>
      </c>
      <c r="F104" s="609">
        <f t="shared" si="8"/>
        <v>1140295.3666666667</v>
      </c>
      <c r="G104" s="609">
        <f t="shared" si="9"/>
        <v>1377480.4666666666</v>
      </c>
      <c r="H104" s="609">
        <f t="shared" si="10"/>
        <v>1607421.3666666667</v>
      </c>
      <c r="I104" s="609">
        <f t="shared" si="11"/>
        <v>1734194.8666666667</v>
      </c>
      <c r="J104" s="609">
        <f t="shared" si="12"/>
        <v>2268808.5</v>
      </c>
      <c r="K104" s="609">
        <f t="shared" si="13"/>
        <v>0</v>
      </c>
    </row>
    <row r="105" spans="1:11" ht="15.75" thickBot="1">
      <c r="A105" s="689" t="s">
        <v>670</v>
      </c>
      <c r="B105" s="618" t="s">
        <v>726</v>
      </c>
      <c r="C105" s="619">
        <v>125</v>
      </c>
      <c r="D105" s="609">
        <f t="shared" si="14"/>
        <v>982625</v>
      </c>
      <c r="E105" s="609">
        <f t="shared" si="7"/>
        <v>1112166.6666666667</v>
      </c>
      <c r="F105" s="609">
        <f t="shared" si="8"/>
        <v>1141208.3333333333</v>
      </c>
      <c r="G105" s="609">
        <f t="shared" si="9"/>
        <v>1378583.3333333333</v>
      </c>
      <c r="H105" s="609">
        <f t="shared" si="10"/>
        <v>1608708.3333333333</v>
      </c>
      <c r="I105" s="609">
        <f t="shared" si="11"/>
        <v>1735583.3333333333</v>
      </c>
      <c r="J105" s="609">
        <f t="shared" si="12"/>
        <v>2270625</v>
      </c>
      <c r="K105" s="609">
        <f t="shared" si="13"/>
        <v>0</v>
      </c>
    </row>
    <row r="106" spans="1:11" ht="15.75" thickBot="1">
      <c r="A106" s="689" t="s">
        <v>670</v>
      </c>
      <c r="B106" s="618" t="s">
        <v>727</v>
      </c>
      <c r="C106" s="619">
        <v>127.2</v>
      </c>
      <c r="D106" s="609">
        <f t="shared" si="14"/>
        <v>999919.20000000007</v>
      </c>
      <c r="E106" s="609">
        <f t="shared" si="7"/>
        <v>1131740.8</v>
      </c>
      <c r="F106" s="609">
        <f t="shared" si="8"/>
        <v>1161293.5999999999</v>
      </c>
      <c r="G106" s="609">
        <f t="shared" si="9"/>
        <v>1402846.4</v>
      </c>
      <c r="H106" s="609">
        <f t="shared" si="10"/>
        <v>1637021.5999999999</v>
      </c>
      <c r="I106" s="609">
        <f t="shared" si="11"/>
        <v>1766129.5999999999</v>
      </c>
      <c r="J106" s="609">
        <f t="shared" si="12"/>
        <v>2310588</v>
      </c>
      <c r="K106" s="609">
        <f t="shared" si="13"/>
        <v>0</v>
      </c>
    </row>
    <row r="107" spans="1:11" ht="15.75" thickBot="1">
      <c r="A107" s="689" t="s">
        <v>670</v>
      </c>
      <c r="B107" s="618" t="s">
        <v>728</v>
      </c>
      <c r="C107" s="619">
        <v>129.80000000000001</v>
      </c>
      <c r="D107" s="609">
        <f t="shared" si="14"/>
        <v>1020357.8</v>
      </c>
      <c r="E107" s="609">
        <f t="shared" si="7"/>
        <v>1154873.8666666669</v>
      </c>
      <c r="F107" s="609">
        <f t="shared" si="8"/>
        <v>1185030.7333333334</v>
      </c>
      <c r="G107" s="609">
        <f t="shared" si="9"/>
        <v>1431520.9333333333</v>
      </c>
      <c r="H107" s="609">
        <f t="shared" si="10"/>
        <v>1670482.7333333334</v>
      </c>
      <c r="I107" s="609">
        <f t="shared" si="11"/>
        <v>1802229.7333333334</v>
      </c>
      <c r="J107" s="609">
        <f t="shared" si="12"/>
        <v>2357817</v>
      </c>
      <c r="K107" s="609">
        <f t="shared" si="13"/>
        <v>0</v>
      </c>
    </row>
    <row r="108" spans="1:11" ht="15.75" thickBot="1">
      <c r="A108" s="689" t="s">
        <v>670</v>
      </c>
      <c r="B108" s="618" t="s">
        <v>729</v>
      </c>
      <c r="C108" s="619">
        <v>129.69999999999999</v>
      </c>
      <c r="D108" s="609">
        <f t="shared" si="14"/>
        <v>1019571.7</v>
      </c>
      <c r="E108" s="609">
        <f t="shared" si="7"/>
        <v>1153984.1333333333</v>
      </c>
      <c r="F108" s="609">
        <f t="shared" si="8"/>
        <v>1184117.7666666664</v>
      </c>
      <c r="G108" s="609">
        <f t="shared" si="9"/>
        <v>1430418.0666666664</v>
      </c>
      <c r="H108" s="609">
        <f t="shared" si="10"/>
        <v>1669195.7666666664</v>
      </c>
      <c r="I108" s="609">
        <f t="shared" si="11"/>
        <v>1800841.2666666664</v>
      </c>
      <c r="J108" s="609">
        <f t="shared" si="12"/>
        <v>2356000.5</v>
      </c>
      <c r="K108" s="609">
        <f t="shared" si="13"/>
        <v>0</v>
      </c>
    </row>
    <row r="109" spans="1:11" ht="15.75" thickBot="1">
      <c r="A109" s="689" t="s">
        <v>670</v>
      </c>
      <c r="B109" s="618" t="s">
        <v>730</v>
      </c>
      <c r="C109" s="619">
        <v>134.1</v>
      </c>
      <c r="D109" s="609">
        <f t="shared" si="14"/>
        <v>1054160.0999999999</v>
      </c>
      <c r="E109" s="609">
        <f t="shared" si="7"/>
        <v>1193132.4000000001</v>
      </c>
      <c r="F109" s="609">
        <f t="shared" si="8"/>
        <v>1224288.2999999998</v>
      </c>
      <c r="G109" s="609">
        <f t="shared" si="9"/>
        <v>1478944.2</v>
      </c>
      <c r="H109" s="609">
        <f t="shared" si="10"/>
        <v>1725822.2999999998</v>
      </c>
      <c r="I109" s="609">
        <f t="shared" si="11"/>
        <v>1861933.7999999998</v>
      </c>
      <c r="J109" s="609">
        <f t="shared" si="12"/>
        <v>2435926.5</v>
      </c>
      <c r="K109" s="609">
        <f t="shared" si="13"/>
        <v>0</v>
      </c>
    </row>
    <row r="110" spans="1:11" ht="15.75" thickBot="1">
      <c r="A110" s="689" t="s">
        <v>670</v>
      </c>
      <c r="B110" s="618" t="s">
        <v>731</v>
      </c>
      <c r="C110" s="619">
        <v>136.4</v>
      </c>
      <c r="D110" s="609">
        <f t="shared" si="14"/>
        <v>1072240.4000000001</v>
      </c>
      <c r="E110" s="609">
        <f t="shared" si="7"/>
        <v>1213596.2666666668</v>
      </c>
      <c r="F110" s="609">
        <f t="shared" si="8"/>
        <v>1245286.5333333332</v>
      </c>
      <c r="G110" s="609">
        <f t="shared" si="9"/>
        <v>1504310.1333333333</v>
      </c>
      <c r="H110" s="609">
        <f t="shared" si="10"/>
        <v>1755422.5333333332</v>
      </c>
      <c r="I110" s="609">
        <f t="shared" si="11"/>
        <v>1893868.5333333334</v>
      </c>
      <c r="J110" s="609">
        <f t="shared" si="12"/>
        <v>2477706</v>
      </c>
      <c r="K110" s="609">
        <f t="shared" si="13"/>
        <v>0</v>
      </c>
    </row>
    <row r="111" spans="1:11" ht="15.75" thickBot="1">
      <c r="A111" s="689" t="s">
        <v>670</v>
      </c>
      <c r="B111" s="618" t="s">
        <v>732</v>
      </c>
      <c r="C111" s="619">
        <v>138.1</v>
      </c>
      <c r="D111" s="609">
        <f t="shared" si="14"/>
        <v>1085604.0999999999</v>
      </c>
      <c r="E111" s="609">
        <f t="shared" si="7"/>
        <v>1228721.7333333334</v>
      </c>
      <c r="F111" s="609">
        <f t="shared" si="8"/>
        <v>1260806.9666666666</v>
      </c>
      <c r="G111" s="609">
        <f t="shared" si="9"/>
        <v>1523058.8666666665</v>
      </c>
      <c r="H111" s="609">
        <f t="shared" si="10"/>
        <v>1777300.9666666666</v>
      </c>
      <c r="I111" s="609">
        <f t="shared" si="11"/>
        <v>1917472.4666666666</v>
      </c>
      <c r="J111" s="609">
        <f t="shared" si="12"/>
        <v>2508586.5</v>
      </c>
      <c r="K111" s="609">
        <f t="shared" si="13"/>
        <v>0</v>
      </c>
    </row>
    <row r="112" spans="1:11" ht="15.75" thickBot="1">
      <c r="A112" s="690" t="s">
        <v>733</v>
      </c>
      <c r="B112" s="620" t="s">
        <v>734</v>
      </c>
      <c r="C112" s="632">
        <v>150</v>
      </c>
      <c r="D112" s="609">
        <f t="shared" si="14"/>
        <v>1179150</v>
      </c>
      <c r="E112" s="609">
        <f t="shared" si="7"/>
        <v>1334600</v>
      </c>
      <c r="F112" s="609">
        <f t="shared" si="8"/>
        <v>1369450</v>
      </c>
      <c r="G112" s="609">
        <f t="shared" si="9"/>
        <v>1654300</v>
      </c>
      <c r="H112" s="609">
        <f t="shared" si="10"/>
        <v>1930450</v>
      </c>
      <c r="I112" s="609">
        <f t="shared" si="11"/>
        <v>2082700</v>
      </c>
      <c r="J112" s="609">
        <f t="shared" si="12"/>
        <v>2724750</v>
      </c>
      <c r="K112" s="609">
        <f t="shared" si="13"/>
        <v>0</v>
      </c>
    </row>
    <row r="113" spans="1:12" ht="15.75" thickBot="1">
      <c r="A113" s="690" t="s">
        <v>733</v>
      </c>
      <c r="B113" s="620" t="s">
        <v>735</v>
      </c>
      <c r="C113" s="632">
        <v>164</v>
      </c>
      <c r="D113" s="609">
        <f t="shared" si="14"/>
        <v>1289204</v>
      </c>
      <c r="E113" s="609">
        <f t="shared" ref="E113:E127" si="15">+C113*K$37</f>
        <v>1459162.6666666667</v>
      </c>
      <c r="F113" s="609">
        <f t="shared" ref="F113:F127" si="16">+C113*K$38</f>
        <v>1497265.3333333333</v>
      </c>
      <c r="G113" s="609">
        <f t="shared" ref="G113:G127" si="17">+C113*K$39</f>
        <v>1808701.3333333333</v>
      </c>
      <c r="H113" s="609">
        <f t="shared" ref="H113:H127" si="18">+C113*K$40</f>
        <v>2110625.333333333</v>
      </c>
      <c r="I113" s="609">
        <f t="shared" ref="I113:I127" si="19">+C113*K$41</f>
        <v>2277085.333333333</v>
      </c>
      <c r="J113" s="609">
        <f t="shared" ref="J113:J127" si="20">+C113*K$42</f>
        <v>2979060</v>
      </c>
      <c r="K113" s="609">
        <f t="shared" ref="K113:K127" si="21">+C113*K$43</f>
        <v>0</v>
      </c>
    </row>
    <row r="114" spans="1:12" ht="15.75" thickBot="1">
      <c r="A114" s="690" t="s">
        <v>733</v>
      </c>
      <c r="B114" s="620" t="s">
        <v>736</v>
      </c>
      <c r="C114" s="621">
        <v>166.6</v>
      </c>
      <c r="D114" s="609">
        <f t="shared" ref="D114:D127" si="22">+C114*J$36</f>
        <v>1309642.5999999999</v>
      </c>
      <c r="E114" s="609">
        <f t="shared" si="15"/>
        <v>1482295.7333333334</v>
      </c>
      <c r="F114" s="609">
        <f t="shared" si="16"/>
        <v>1521002.4666666666</v>
      </c>
      <c r="G114" s="609">
        <f t="shared" si="17"/>
        <v>1837375.8666666665</v>
      </c>
      <c r="H114" s="609">
        <f t="shared" si="18"/>
        <v>2144086.4666666663</v>
      </c>
      <c r="I114" s="609">
        <f t="shared" si="19"/>
        <v>2313185.4666666663</v>
      </c>
      <c r="J114" s="609">
        <f t="shared" si="20"/>
        <v>3026289</v>
      </c>
      <c r="K114" s="609">
        <f t="shared" si="21"/>
        <v>0</v>
      </c>
    </row>
    <row r="115" spans="1:12" ht="15.75" thickBot="1">
      <c r="A115" s="690" t="s">
        <v>733</v>
      </c>
      <c r="B115" s="620" t="s">
        <v>737</v>
      </c>
      <c r="C115" s="621">
        <v>167.2</v>
      </c>
      <c r="D115" s="609">
        <f t="shared" si="22"/>
        <v>1314359.2</v>
      </c>
      <c r="E115" s="609">
        <f t="shared" si="15"/>
        <v>1487634.1333333333</v>
      </c>
      <c r="F115" s="609">
        <f t="shared" si="16"/>
        <v>1526480.2666666664</v>
      </c>
      <c r="G115" s="609">
        <f t="shared" si="17"/>
        <v>1843993.0666666664</v>
      </c>
      <c r="H115" s="609">
        <f t="shared" si="18"/>
        <v>2151808.2666666666</v>
      </c>
      <c r="I115" s="609">
        <f t="shared" si="19"/>
        <v>2321516.2666666666</v>
      </c>
      <c r="J115" s="609">
        <f t="shared" si="20"/>
        <v>3037188</v>
      </c>
      <c r="K115" s="609">
        <f t="shared" si="21"/>
        <v>0</v>
      </c>
    </row>
    <row r="116" spans="1:12" ht="15.75" thickBot="1">
      <c r="A116" s="690" t="s">
        <v>733</v>
      </c>
      <c r="B116" s="620" t="s">
        <v>738</v>
      </c>
      <c r="C116" s="621">
        <v>175</v>
      </c>
      <c r="D116" s="609">
        <f t="shared" si="22"/>
        <v>1375675</v>
      </c>
      <c r="E116" s="609">
        <f t="shared" si="15"/>
        <v>1557033.3333333335</v>
      </c>
      <c r="F116" s="609">
        <f t="shared" si="16"/>
        <v>1597691.6666666665</v>
      </c>
      <c r="G116" s="609">
        <f t="shared" si="17"/>
        <v>1930016.6666666665</v>
      </c>
      <c r="H116" s="609">
        <f t="shared" si="18"/>
        <v>2252191.6666666665</v>
      </c>
      <c r="I116" s="609">
        <f t="shared" si="19"/>
        <v>2429816.6666666665</v>
      </c>
      <c r="J116" s="609">
        <f t="shared" si="20"/>
        <v>3178875</v>
      </c>
      <c r="K116" s="609">
        <f t="shared" si="21"/>
        <v>0</v>
      </c>
    </row>
    <row r="117" spans="1:12" ht="15.75" thickBot="1">
      <c r="A117" s="690" t="s">
        <v>733</v>
      </c>
      <c r="B117" s="620" t="s">
        <v>739</v>
      </c>
      <c r="C117" s="621">
        <v>183</v>
      </c>
      <c r="D117" s="609">
        <f t="shared" si="22"/>
        <v>1438563</v>
      </c>
      <c r="E117" s="609">
        <f t="shared" si="15"/>
        <v>1628212</v>
      </c>
      <c r="F117" s="609">
        <f t="shared" si="16"/>
        <v>1670729</v>
      </c>
      <c r="G117" s="609">
        <f t="shared" si="17"/>
        <v>2018246</v>
      </c>
      <c r="H117" s="609">
        <f t="shared" si="18"/>
        <v>2355149</v>
      </c>
      <c r="I117" s="609">
        <f t="shared" si="19"/>
        <v>2540894</v>
      </c>
      <c r="J117" s="609">
        <f t="shared" si="20"/>
        <v>3324195</v>
      </c>
      <c r="K117" s="609">
        <f t="shared" si="21"/>
        <v>0</v>
      </c>
    </row>
    <row r="118" spans="1:12" ht="15.75" thickBot="1">
      <c r="A118" s="690" t="s">
        <v>733</v>
      </c>
      <c r="B118" s="620" t="s">
        <v>740</v>
      </c>
      <c r="C118" s="621">
        <v>201</v>
      </c>
      <c r="D118" s="609">
        <f t="shared" si="22"/>
        <v>1580061</v>
      </c>
      <c r="E118" s="609">
        <f t="shared" si="15"/>
        <v>1788364.0000000002</v>
      </c>
      <c r="F118" s="609">
        <f t="shared" si="16"/>
        <v>1835062.9999999998</v>
      </c>
      <c r="G118" s="609">
        <f t="shared" si="17"/>
        <v>2216762</v>
      </c>
      <c r="H118" s="609">
        <f t="shared" si="18"/>
        <v>2586803</v>
      </c>
      <c r="I118" s="609">
        <f t="shared" si="19"/>
        <v>2790818</v>
      </c>
      <c r="J118" s="609">
        <f t="shared" si="20"/>
        <v>3651165</v>
      </c>
      <c r="K118" s="609">
        <f t="shared" si="21"/>
        <v>0</v>
      </c>
      <c r="L118" s="469">
        <f>(190+206+207)/3</f>
        <v>201</v>
      </c>
    </row>
    <row r="119" spans="1:12" ht="15.75" thickBot="1">
      <c r="A119" s="690" t="s">
        <v>733</v>
      </c>
      <c r="B119" s="620" t="s">
        <v>741</v>
      </c>
      <c r="C119" s="621">
        <v>190.6</v>
      </c>
      <c r="D119" s="609">
        <f t="shared" si="22"/>
        <v>1498306.5999999999</v>
      </c>
      <c r="E119" s="609">
        <f t="shared" si="15"/>
        <v>1695831.7333333334</v>
      </c>
      <c r="F119" s="609">
        <f t="shared" si="16"/>
        <v>1740114.4666666666</v>
      </c>
      <c r="G119" s="609">
        <f t="shared" si="17"/>
        <v>2102063.8666666667</v>
      </c>
      <c r="H119" s="609">
        <f t="shared" si="18"/>
        <v>2452958.4666666663</v>
      </c>
      <c r="I119" s="609">
        <f t="shared" si="19"/>
        <v>2646417.4666666663</v>
      </c>
      <c r="J119" s="609">
        <f t="shared" si="20"/>
        <v>3462249</v>
      </c>
      <c r="K119" s="609">
        <f t="shared" si="21"/>
        <v>0</v>
      </c>
    </row>
    <row r="120" spans="1:12" ht="15.75" thickBot="1">
      <c r="A120" s="690" t="s">
        <v>733</v>
      </c>
      <c r="B120" s="622" t="s">
        <v>742</v>
      </c>
      <c r="C120" s="623">
        <v>212.3</v>
      </c>
      <c r="D120" s="609">
        <f t="shared" si="22"/>
        <v>1668890.3</v>
      </c>
      <c r="E120" s="609">
        <f t="shared" si="15"/>
        <v>1888903.8666666669</v>
      </c>
      <c r="F120" s="609">
        <f t="shared" si="16"/>
        <v>1938228.2333333334</v>
      </c>
      <c r="G120" s="609">
        <f t="shared" si="17"/>
        <v>2341385.9333333331</v>
      </c>
      <c r="H120" s="609">
        <f t="shared" si="18"/>
        <v>2732230.2333333334</v>
      </c>
      <c r="I120" s="609">
        <f t="shared" si="19"/>
        <v>2947714.7333333334</v>
      </c>
      <c r="J120" s="609">
        <f t="shared" si="20"/>
        <v>3856429.5</v>
      </c>
      <c r="K120" s="609">
        <f t="shared" si="21"/>
        <v>0</v>
      </c>
    </row>
    <row r="121" spans="1:12" ht="15.75" thickBot="1">
      <c r="A121" s="690" t="s">
        <v>733</v>
      </c>
      <c r="B121" s="622" t="s">
        <v>743</v>
      </c>
      <c r="C121" s="623">
        <v>219.7</v>
      </c>
      <c r="D121" s="609">
        <f t="shared" si="22"/>
        <v>1727061.7</v>
      </c>
      <c r="E121" s="609">
        <f t="shared" si="15"/>
        <v>1954744.1333333333</v>
      </c>
      <c r="F121" s="609">
        <f t="shared" si="16"/>
        <v>2005787.7666666664</v>
      </c>
      <c r="G121" s="609">
        <f t="shared" si="17"/>
        <v>2422998.0666666664</v>
      </c>
      <c r="H121" s="609">
        <f t="shared" si="18"/>
        <v>2827465.7666666666</v>
      </c>
      <c r="I121" s="609">
        <f t="shared" si="19"/>
        <v>3050461.2666666666</v>
      </c>
      <c r="J121" s="609">
        <f t="shared" si="20"/>
        <v>3990850.5</v>
      </c>
      <c r="K121" s="609">
        <f t="shared" si="21"/>
        <v>0</v>
      </c>
    </row>
    <row r="122" spans="1:12" ht="15.75" thickBot="1">
      <c r="A122" s="690" t="s">
        <v>733</v>
      </c>
      <c r="B122" s="622" t="s">
        <v>744</v>
      </c>
      <c r="C122" s="623">
        <v>219.8</v>
      </c>
      <c r="D122" s="609">
        <f t="shared" si="22"/>
        <v>1727847.8</v>
      </c>
      <c r="E122" s="609">
        <f t="shared" si="15"/>
        <v>1955633.8666666669</v>
      </c>
      <c r="F122" s="609">
        <f t="shared" si="16"/>
        <v>2006700.7333333334</v>
      </c>
      <c r="G122" s="609">
        <f t="shared" si="17"/>
        <v>2424100.9333333331</v>
      </c>
      <c r="H122" s="609">
        <f t="shared" si="18"/>
        <v>2828752.7333333334</v>
      </c>
      <c r="I122" s="609">
        <f t="shared" si="19"/>
        <v>3051849.7333333334</v>
      </c>
      <c r="J122" s="609">
        <f t="shared" si="20"/>
        <v>3992667</v>
      </c>
      <c r="K122" s="609">
        <f t="shared" si="21"/>
        <v>0</v>
      </c>
    </row>
    <row r="123" spans="1:12" ht="15.75" thickBot="1">
      <c r="A123" s="690" t="s">
        <v>733</v>
      </c>
      <c r="B123" s="622" t="s">
        <v>745</v>
      </c>
      <c r="C123" s="623">
        <v>275.10000000000002</v>
      </c>
      <c r="D123" s="609">
        <f t="shared" si="22"/>
        <v>2162561.1</v>
      </c>
      <c r="E123" s="609">
        <f t="shared" si="15"/>
        <v>2447656.4000000004</v>
      </c>
      <c r="F123" s="609">
        <f t="shared" si="16"/>
        <v>2511571.2999999998</v>
      </c>
      <c r="G123" s="609">
        <f t="shared" si="17"/>
        <v>3033986.2</v>
      </c>
      <c r="H123" s="609">
        <f t="shared" si="18"/>
        <v>3540445.3000000003</v>
      </c>
      <c r="I123" s="609">
        <f t="shared" si="19"/>
        <v>3819671.8000000003</v>
      </c>
      <c r="J123" s="609">
        <f t="shared" si="20"/>
        <v>4997191.5</v>
      </c>
      <c r="K123" s="609">
        <f t="shared" si="21"/>
        <v>0</v>
      </c>
    </row>
    <row r="124" spans="1:12" ht="15.75" thickBot="1">
      <c r="A124" s="690" t="s">
        <v>733</v>
      </c>
      <c r="B124" s="622" t="s">
        <v>746</v>
      </c>
      <c r="C124" s="623">
        <v>330.4</v>
      </c>
      <c r="D124" s="609">
        <f t="shared" si="22"/>
        <v>2597274.4</v>
      </c>
      <c r="E124" s="609">
        <f t="shared" si="15"/>
        <v>2939678.9333333331</v>
      </c>
      <c r="F124" s="609">
        <f t="shared" si="16"/>
        <v>3016441.8666666662</v>
      </c>
      <c r="G124" s="609">
        <f t="shared" si="17"/>
        <v>3643871.4666666663</v>
      </c>
      <c r="H124" s="609">
        <f t="shared" si="18"/>
        <v>4252137.8666666662</v>
      </c>
      <c r="I124" s="609">
        <f t="shared" si="19"/>
        <v>4587493.8666666662</v>
      </c>
      <c r="J124" s="609">
        <f t="shared" si="20"/>
        <v>6001716</v>
      </c>
      <c r="K124" s="609">
        <f t="shared" si="21"/>
        <v>0</v>
      </c>
    </row>
    <row r="125" spans="1:12" ht="15.75" thickBot="1">
      <c r="A125" s="690" t="s">
        <v>733</v>
      </c>
      <c r="B125" s="622" t="s">
        <v>747</v>
      </c>
      <c r="C125" s="623">
        <v>349.7</v>
      </c>
      <c r="D125" s="609">
        <f t="shared" si="22"/>
        <v>2748991.6999999997</v>
      </c>
      <c r="E125" s="609">
        <f t="shared" si="15"/>
        <v>3111397.4666666668</v>
      </c>
      <c r="F125" s="609">
        <f t="shared" si="16"/>
        <v>3192644.4333333331</v>
      </c>
      <c r="G125" s="609">
        <f t="shared" si="17"/>
        <v>3856724.7333333329</v>
      </c>
      <c r="H125" s="609">
        <f t="shared" si="18"/>
        <v>4500522.4333333327</v>
      </c>
      <c r="I125" s="609">
        <f t="shared" si="19"/>
        <v>4855467.9333333327</v>
      </c>
      <c r="J125" s="609">
        <f t="shared" si="20"/>
        <v>6352300.5</v>
      </c>
      <c r="K125" s="609">
        <f t="shared" si="21"/>
        <v>0</v>
      </c>
    </row>
    <row r="126" spans="1:12" ht="15.75" thickBot="1">
      <c r="A126" s="690" t="s">
        <v>733</v>
      </c>
      <c r="B126" s="622" t="s">
        <v>748</v>
      </c>
      <c r="C126" s="623">
        <v>318</v>
      </c>
      <c r="D126" s="609">
        <f t="shared" si="22"/>
        <v>2499798</v>
      </c>
      <c r="E126" s="609">
        <f t="shared" si="15"/>
        <v>2829352</v>
      </c>
      <c r="F126" s="609">
        <f t="shared" si="16"/>
        <v>2903234</v>
      </c>
      <c r="G126" s="609">
        <f t="shared" si="17"/>
        <v>3507116</v>
      </c>
      <c r="H126" s="609">
        <f t="shared" si="18"/>
        <v>4092554</v>
      </c>
      <c r="I126" s="609">
        <f t="shared" si="19"/>
        <v>4415324</v>
      </c>
      <c r="J126" s="609">
        <f t="shared" si="20"/>
        <v>5776470</v>
      </c>
      <c r="K126" s="609">
        <f t="shared" si="21"/>
        <v>0</v>
      </c>
      <c r="L126" s="469">
        <f>(281+354)/2</f>
        <v>317.5</v>
      </c>
    </row>
    <row r="127" spans="1:12" ht="15.75" thickBot="1">
      <c r="A127" s="690" t="s">
        <v>733</v>
      </c>
      <c r="B127" s="622" t="s">
        <v>749</v>
      </c>
      <c r="C127" s="633">
        <v>260</v>
      </c>
      <c r="D127" s="609">
        <f t="shared" si="22"/>
        <v>2043860</v>
      </c>
      <c r="E127" s="609">
        <f t="shared" si="15"/>
        <v>2313306.666666667</v>
      </c>
      <c r="F127" s="609">
        <f t="shared" si="16"/>
        <v>2373713.333333333</v>
      </c>
      <c r="G127" s="609">
        <f t="shared" si="17"/>
        <v>2867453.333333333</v>
      </c>
      <c r="H127" s="609">
        <f t="shared" si="18"/>
        <v>3346113.333333333</v>
      </c>
      <c r="I127" s="609">
        <f t="shared" si="19"/>
        <v>3610013.333333333</v>
      </c>
      <c r="J127" s="609">
        <f t="shared" si="20"/>
        <v>4722900</v>
      </c>
      <c r="K127" s="609">
        <f t="shared" si="21"/>
        <v>0</v>
      </c>
    </row>
    <row r="129" spans="1:10" ht="23.1" customHeight="1">
      <c r="B129" s="1286" t="s">
        <v>750</v>
      </c>
      <c r="C129" s="1286"/>
      <c r="D129" s="1286"/>
      <c r="E129" s="1286"/>
      <c r="F129" s="1286"/>
      <c r="G129" s="1286"/>
      <c r="H129" s="1286"/>
      <c r="I129" s="1286"/>
    </row>
    <row r="130" spans="1:10" ht="23.1" customHeight="1">
      <c r="B130" s="637"/>
      <c r="C130" s="637"/>
      <c r="D130" s="637"/>
      <c r="E130" s="637"/>
      <c r="F130" s="637"/>
      <c r="G130" s="637"/>
      <c r="H130" s="637"/>
      <c r="I130" s="637"/>
    </row>
    <row r="131" spans="1:10" ht="27" customHeight="1">
      <c r="A131" s="399">
        <v>2</v>
      </c>
      <c r="B131" s="691" t="s">
        <v>751</v>
      </c>
      <c r="C131" s="692"/>
      <c r="D131" s="692"/>
      <c r="E131" s="692"/>
      <c r="F131" s="692"/>
      <c r="G131" s="692"/>
      <c r="H131" s="692"/>
      <c r="I131" s="692"/>
      <c r="J131" s="693"/>
    </row>
    <row r="132" spans="1:10" ht="32.65" customHeight="1">
      <c r="B132" s="1285" t="s">
        <v>798</v>
      </c>
      <c r="C132" s="1285"/>
      <c r="D132" s="1285"/>
      <c r="E132" s="1285"/>
      <c r="F132" s="1285"/>
      <c r="G132" s="1285"/>
      <c r="H132" s="1285"/>
      <c r="I132" s="1285"/>
      <c r="J132" s="1285"/>
    </row>
    <row r="133" spans="1:10" ht="99.6" customHeight="1">
      <c r="B133" s="677" t="s">
        <v>752</v>
      </c>
      <c r="C133" s="678" t="s">
        <v>753</v>
      </c>
      <c r="D133" s="678" t="s">
        <v>754</v>
      </c>
      <c r="E133" s="678" t="s">
        <v>755</v>
      </c>
      <c r="F133" s="678" t="s">
        <v>756</v>
      </c>
      <c r="G133" s="678" t="s">
        <v>757</v>
      </c>
      <c r="H133" s="678" t="s">
        <v>758</v>
      </c>
      <c r="I133" s="678" t="s">
        <v>759</v>
      </c>
      <c r="J133" s="678" t="s">
        <v>760</v>
      </c>
    </row>
    <row r="134" spans="1:10" ht="15">
      <c r="B134" s="680">
        <f>C49</f>
        <v>2</v>
      </c>
      <c r="C134" s="679">
        <f>B134*K$36</f>
        <v>17272</v>
      </c>
      <c r="D134" s="679">
        <f>B134*K$37</f>
        <v>17794.666666666668</v>
      </c>
      <c r="E134" s="679">
        <f>B134*K$38</f>
        <v>18259.333333333332</v>
      </c>
      <c r="F134" s="679">
        <f>B134*K$39</f>
        <v>22057.333333333332</v>
      </c>
      <c r="G134" s="679">
        <f>B134*K$40</f>
        <v>25739.333333333332</v>
      </c>
      <c r="H134" s="679">
        <f>B134*K$41</f>
        <v>27769.333333333332</v>
      </c>
      <c r="I134" s="679">
        <f>B134*K$42</f>
        <v>36330</v>
      </c>
      <c r="J134" s="679">
        <f>B134*K$43</f>
        <v>0</v>
      </c>
    </row>
    <row r="135" spans="1:10" ht="15">
      <c r="B135" s="680">
        <f t="shared" ref="B135:B154" si="23">C50</f>
        <v>5</v>
      </c>
      <c r="C135" s="679">
        <f t="shared" ref="C135:C154" si="24">B135*K$36</f>
        <v>43180</v>
      </c>
      <c r="D135" s="679">
        <f t="shared" ref="D135:D154" si="25">B135*K$37</f>
        <v>44486.666666666672</v>
      </c>
      <c r="E135" s="679">
        <f t="shared" ref="E135:E154" si="26">B135*K$38</f>
        <v>45648.333333333328</v>
      </c>
      <c r="F135" s="679">
        <f t="shared" ref="F135:F154" si="27">B135*K$39</f>
        <v>55143.333333333328</v>
      </c>
      <c r="G135" s="679">
        <f t="shared" ref="G135:G154" si="28">B135*K$40</f>
        <v>64348.333333333328</v>
      </c>
      <c r="H135" s="679">
        <f t="shared" ref="H135:H154" si="29">B135*K$41</f>
        <v>69423.333333333328</v>
      </c>
      <c r="I135" s="679">
        <f t="shared" ref="I135:I154" si="30">B135*K$42</f>
        <v>90825</v>
      </c>
      <c r="J135" s="679">
        <f t="shared" ref="J135:J154" si="31">B135*K$43</f>
        <v>0</v>
      </c>
    </row>
    <row r="136" spans="1:10" ht="15">
      <c r="B136" s="680">
        <f t="shared" si="23"/>
        <v>5</v>
      </c>
      <c r="C136" s="679">
        <f t="shared" si="24"/>
        <v>43180</v>
      </c>
      <c r="D136" s="679">
        <f t="shared" si="25"/>
        <v>44486.666666666672</v>
      </c>
      <c r="E136" s="679">
        <f t="shared" si="26"/>
        <v>45648.333333333328</v>
      </c>
      <c r="F136" s="679">
        <f t="shared" si="27"/>
        <v>55143.333333333328</v>
      </c>
      <c r="G136" s="679">
        <f t="shared" si="28"/>
        <v>64348.333333333328</v>
      </c>
      <c r="H136" s="679">
        <f t="shared" si="29"/>
        <v>69423.333333333328</v>
      </c>
      <c r="I136" s="679">
        <f t="shared" si="30"/>
        <v>90825</v>
      </c>
      <c r="J136" s="679">
        <f t="shared" si="31"/>
        <v>0</v>
      </c>
    </row>
    <row r="137" spans="1:10" ht="15">
      <c r="B137" s="680">
        <f t="shared" si="23"/>
        <v>7.5</v>
      </c>
      <c r="C137" s="679">
        <f t="shared" si="24"/>
        <v>64770</v>
      </c>
      <c r="D137" s="679">
        <f t="shared" si="25"/>
        <v>66730</v>
      </c>
      <c r="E137" s="679">
        <f t="shared" si="26"/>
        <v>68472.5</v>
      </c>
      <c r="F137" s="679">
        <f t="shared" si="27"/>
        <v>82715</v>
      </c>
      <c r="G137" s="679">
        <f t="shared" si="28"/>
        <v>96522.5</v>
      </c>
      <c r="H137" s="679">
        <f t="shared" si="29"/>
        <v>104135</v>
      </c>
      <c r="I137" s="679">
        <f t="shared" si="30"/>
        <v>136237.5</v>
      </c>
      <c r="J137" s="679">
        <f t="shared" si="31"/>
        <v>0</v>
      </c>
    </row>
    <row r="138" spans="1:10" ht="15">
      <c r="B138" s="680">
        <f t="shared" si="23"/>
        <v>9.5</v>
      </c>
      <c r="C138" s="679">
        <f t="shared" si="24"/>
        <v>82042</v>
      </c>
      <c r="D138" s="679">
        <f t="shared" si="25"/>
        <v>84524.666666666672</v>
      </c>
      <c r="E138" s="679">
        <f t="shared" si="26"/>
        <v>86731.833333333328</v>
      </c>
      <c r="F138" s="679">
        <f t="shared" si="27"/>
        <v>104772.33333333333</v>
      </c>
      <c r="G138" s="679">
        <f t="shared" si="28"/>
        <v>122261.83333333333</v>
      </c>
      <c r="H138" s="679">
        <f t="shared" si="29"/>
        <v>131904.33333333331</v>
      </c>
      <c r="I138" s="679">
        <f t="shared" si="30"/>
        <v>172567.5</v>
      </c>
      <c r="J138" s="679">
        <f t="shared" si="31"/>
        <v>0</v>
      </c>
    </row>
    <row r="139" spans="1:10" ht="15">
      <c r="B139" s="680">
        <f t="shared" si="23"/>
        <v>10.6</v>
      </c>
      <c r="C139" s="679">
        <f t="shared" si="24"/>
        <v>91541.599999999991</v>
      </c>
      <c r="D139" s="679">
        <f t="shared" si="25"/>
        <v>94311.733333333337</v>
      </c>
      <c r="E139" s="679">
        <f t="shared" si="26"/>
        <v>96774.46666666666</v>
      </c>
      <c r="F139" s="679">
        <f t="shared" si="27"/>
        <v>116903.86666666665</v>
      </c>
      <c r="G139" s="679">
        <f t="shared" si="28"/>
        <v>136418.46666666665</v>
      </c>
      <c r="H139" s="679">
        <f t="shared" si="29"/>
        <v>147177.46666666665</v>
      </c>
      <c r="I139" s="679">
        <f t="shared" si="30"/>
        <v>192549</v>
      </c>
      <c r="J139" s="679">
        <f t="shared" si="31"/>
        <v>0</v>
      </c>
    </row>
    <row r="140" spans="1:10" ht="15">
      <c r="B140" s="680">
        <f t="shared" si="23"/>
        <v>16.2</v>
      </c>
      <c r="C140" s="679">
        <f t="shared" si="24"/>
        <v>139903.19999999998</v>
      </c>
      <c r="D140" s="679">
        <f t="shared" si="25"/>
        <v>144136.80000000002</v>
      </c>
      <c r="E140" s="679">
        <f t="shared" si="26"/>
        <v>147900.59999999998</v>
      </c>
      <c r="F140" s="679">
        <f t="shared" si="27"/>
        <v>178664.4</v>
      </c>
      <c r="G140" s="679">
        <f t="shared" si="28"/>
        <v>208488.59999999998</v>
      </c>
      <c r="H140" s="679">
        <f t="shared" si="29"/>
        <v>224931.59999999998</v>
      </c>
      <c r="I140" s="679">
        <f t="shared" si="30"/>
        <v>294273</v>
      </c>
      <c r="J140" s="679">
        <f t="shared" si="31"/>
        <v>0</v>
      </c>
    </row>
    <row r="141" spans="1:10" ht="15">
      <c r="B141" s="680">
        <f t="shared" si="23"/>
        <v>17.8</v>
      </c>
      <c r="C141" s="679">
        <f t="shared" si="24"/>
        <v>153720.80000000002</v>
      </c>
      <c r="D141" s="679">
        <f t="shared" si="25"/>
        <v>158372.53333333335</v>
      </c>
      <c r="E141" s="679">
        <f t="shared" si="26"/>
        <v>162508.06666666665</v>
      </c>
      <c r="F141" s="679">
        <f t="shared" si="27"/>
        <v>196310.26666666666</v>
      </c>
      <c r="G141" s="679">
        <f t="shared" si="28"/>
        <v>229080.06666666665</v>
      </c>
      <c r="H141" s="679">
        <f t="shared" si="29"/>
        <v>247147.06666666668</v>
      </c>
      <c r="I141" s="679">
        <f t="shared" si="30"/>
        <v>323337</v>
      </c>
      <c r="J141" s="679">
        <f t="shared" si="31"/>
        <v>0</v>
      </c>
    </row>
    <row r="142" spans="1:10" ht="15">
      <c r="B142" s="680">
        <f t="shared" si="23"/>
        <v>21.6</v>
      </c>
      <c r="C142" s="679">
        <f t="shared" si="24"/>
        <v>186537.60000000001</v>
      </c>
      <c r="D142" s="679">
        <f t="shared" si="25"/>
        <v>192182.40000000002</v>
      </c>
      <c r="E142" s="679">
        <f t="shared" si="26"/>
        <v>197200.8</v>
      </c>
      <c r="F142" s="679">
        <f t="shared" si="27"/>
        <v>238219.2</v>
      </c>
      <c r="G142" s="679">
        <f t="shared" si="28"/>
        <v>277984.8</v>
      </c>
      <c r="H142" s="679">
        <f t="shared" si="29"/>
        <v>299908.8</v>
      </c>
      <c r="I142" s="679">
        <f t="shared" si="30"/>
        <v>392364</v>
      </c>
      <c r="J142" s="679">
        <f t="shared" si="31"/>
        <v>0</v>
      </c>
    </row>
    <row r="143" spans="1:10" ht="15">
      <c r="B143" s="680">
        <f t="shared" si="23"/>
        <v>30.3</v>
      </c>
      <c r="C143" s="679">
        <f t="shared" si="24"/>
        <v>261670.80000000002</v>
      </c>
      <c r="D143" s="679">
        <f t="shared" si="25"/>
        <v>269589.2</v>
      </c>
      <c r="E143" s="679">
        <f t="shared" si="26"/>
        <v>276628.89999999997</v>
      </c>
      <c r="F143" s="679">
        <f t="shared" si="27"/>
        <v>334168.59999999998</v>
      </c>
      <c r="G143" s="679">
        <f t="shared" si="28"/>
        <v>389950.89999999997</v>
      </c>
      <c r="H143" s="679">
        <f t="shared" si="29"/>
        <v>420705.39999999997</v>
      </c>
      <c r="I143" s="679">
        <f t="shared" si="30"/>
        <v>550399.5</v>
      </c>
      <c r="J143" s="679">
        <f t="shared" si="31"/>
        <v>0</v>
      </c>
    </row>
    <row r="144" spans="1:10" ht="15">
      <c r="B144" s="680">
        <f t="shared" si="23"/>
        <v>51</v>
      </c>
      <c r="C144" s="679">
        <f t="shared" si="24"/>
        <v>440436</v>
      </c>
      <c r="D144" s="679">
        <f t="shared" si="25"/>
        <v>453764.00000000006</v>
      </c>
      <c r="E144" s="679">
        <f t="shared" si="26"/>
        <v>465612.99999999994</v>
      </c>
      <c r="F144" s="679">
        <f t="shared" si="27"/>
        <v>562462</v>
      </c>
      <c r="G144" s="679">
        <f t="shared" si="28"/>
        <v>656353</v>
      </c>
      <c r="H144" s="679">
        <f t="shared" si="29"/>
        <v>708118</v>
      </c>
      <c r="I144" s="679">
        <f t="shared" si="30"/>
        <v>926415</v>
      </c>
      <c r="J144" s="679">
        <f t="shared" si="31"/>
        <v>0</v>
      </c>
    </row>
    <row r="145" spans="2:10" ht="15">
      <c r="B145" s="680">
        <f t="shared" si="23"/>
        <v>31.9</v>
      </c>
      <c r="C145" s="679">
        <f t="shared" si="24"/>
        <v>275488.39999999997</v>
      </c>
      <c r="D145" s="679">
        <f t="shared" si="25"/>
        <v>283824.93333333335</v>
      </c>
      <c r="E145" s="679">
        <f t="shared" si="26"/>
        <v>291236.36666666664</v>
      </c>
      <c r="F145" s="679">
        <f t="shared" si="27"/>
        <v>351814.46666666662</v>
      </c>
      <c r="G145" s="679">
        <f t="shared" si="28"/>
        <v>410542.36666666664</v>
      </c>
      <c r="H145" s="679">
        <f t="shared" si="29"/>
        <v>442920.86666666664</v>
      </c>
      <c r="I145" s="679">
        <f t="shared" si="30"/>
        <v>579463.5</v>
      </c>
      <c r="J145" s="679">
        <f t="shared" si="31"/>
        <v>0</v>
      </c>
    </row>
    <row r="146" spans="2:10" ht="15">
      <c r="B146" s="680">
        <f t="shared" si="23"/>
        <v>32.299999999999997</v>
      </c>
      <c r="C146" s="679">
        <f t="shared" si="24"/>
        <v>278942.8</v>
      </c>
      <c r="D146" s="679">
        <f t="shared" si="25"/>
        <v>287383.86666666664</v>
      </c>
      <c r="E146" s="679">
        <f t="shared" si="26"/>
        <v>294888.23333333328</v>
      </c>
      <c r="F146" s="679">
        <f t="shared" si="27"/>
        <v>356225.93333333329</v>
      </c>
      <c r="G146" s="679">
        <f t="shared" si="28"/>
        <v>415690.23333333328</v>
      </c>
      <c r="H146" s="679">
        <f t="shared" si="29"/>
        <v>448474.73333333328</v>
      </c>
      <c r="I146" s="679">
        <f t="shared" si="30"/>
        <v>586729.5</v>
      </c>
      <c r="J146" s="679">
        <f t="shared" si="31"/>
        <v>0</v>
      </c>
    </row>
    <row r="147" spans="2:10" ht="15">
      <c r="B147" s="680">
        <f t="shared" si="23"/>
        <v>33.1</v>
      </c>
      <c r="C147" s="679">
        <f t="shared" si="24"/>
        <v>285851.60000000003</v>
      </c>
      <c r="D147" s="679">
        <f t="shared" si="25"/>
        <v>294501.73333333334</v>
      </c>
      <c r="E147" s="679">
        <f t="shared" si="26"/>
        <v>302191.96666666667</v>
      </c>
      <c r="F147" s="679">
        <f t="shared" si="27"/>
        <v>365048.86666666664</v>
      </c>
      <c r="G147" s="679">
        <f t="shared" si="28"/>
        <v>425985.96666666667</v>
      </c>
      <c r="H147" s="679">
        <f t="shared" si="29"/>
        <v>459582.46666666667</v>
      </c>
      <c r="I147" s="679">
        <f t="shared" si="30"/>
        <v>601261.5</v>
      </c>
      <c r="J147" s="679">
        <f t="shared" si="31"/>
        <v>0</v>
      </c>
    </row>
    <row r="148" spans="2:10" ht="15">
      <c r="B148" s="680">
        <f t="shared" si="23"/>
        <v>33.5</v>
      </c>
      <c r="C148" s="679">
        <f t="shared" si="24"/>
        <v>289306</v>
      </c>
      <c r="D148" s="679">
        <f t="shared" si="25"/>
        <v>298060.66666666669</v>
      </c>
      <c r="E148" s="679">
        <f t="shared" si="26"/>
        <v>305843.83333333331</v>
      </c>
      <c r="F148" s="679">
        <f t="shared" si="27"/>
        <v>369460.33333333331</v>
      </c>
      <c r="G148" s="679">
        <f t="shared" si="28"/>
        <v>431133.83333333331</v>
      </c>
      <c r="H148" s="679">
        <f t="shared" si="29"/>
        <v>465136.33333333331</v>
      </c>
      <c r="I148" s="679">
        <f t="shared" si="30"/>
        <v>608527.5</v>
      </c>
      <c r="J148" s="679">
        <f t="shared" si="31"/>
        <v>0</v>
      </c>
    </row>
    <row r="149" spans="2:10" ht="15">
      <c r="B149" s="680">
        <f t="shared" si="23"/>
        <v>48</v>
      </c>
      <c r="C149" s="679">
        <f t="shared" si="24"/>
        <v>414528</v>
      </c>
      <c r="D149" s="679">
        <f t="shared" si="25"/>
        <v>427072</v>
      </c>
      <c r="E149" s="679">
        <f t="shared" si="26"/>
        <v>438224</v>
      </c>
      <c r="F149" s="679">
        <f t="shared" si="27"/>
        <v>529376</v>
      </c>
      <c r="G149" s="679">
        <f t="shared" si="28"/>
        <v>617744</v>
      </c>
      <c r="H149" s="679">
        <f t="shared" si="29"/>
        <v>666464</v>
      </c>
      <c r="I149" s="679">
        <f t="shared" si="30"/>
        <v>871920</v>
      </c>
      <c r="J149" s="679">
        <f t="shared" si="31"/>
        <v>0</v>
      </c>
    </row>
    <row r="150" spans="2:10" ht="15">
      <c r="B150" s="680">
        <f t="shared" si="23"/>
        <v>40.9</v>
      </c>
      <c r="C150" s="679">
        <f t="shared" si="24"/>
        <v>353212.39999999997</v>
      </c>
      <c r="D150" s="679">
        <f t="shared" si="25"/>
        <v>363900.93333333335</v>
      </c>
      <c r="E150" s="679">
        <f t="shared" si="26"/>
        <v>373403.36666666664</v>
      </c>
      <c r="F150" s="679">
        <f t="shared" si="27"/>
        <v>451072.46666666662</v>
      </c>
      <c r="G150" s="679">
        <f t="shared" si="28"/>
        <v>526369.36666666658</v>
      </c>
      <c r="H150" s="679">
        <f t="shared" si="29"/>
        <v>567882.86666666658</v>
      </c>
      <c r="I150" s="679">
        <f t="shared" si="30"/>
        <v>742948.5</v>
      </c>
      <c r="J150" s="679">
        <f t="shared" si="31"/>
        <v>0</v>
      </c>
    </row>
    <row r="151" spans="2:10" ht="15">
      <c r="B151" s="680">
        <f t="shared" si="23"/>
        <v>42.3</v>
      </c>
      <c r="C151" s="679">
        <f t="shared" si="24"/>
        <v>365302.8</v>
      </c>
      <c r="D151" s="679">
        <f t="shared" si="25"/>
        <v>376357.2</v>
      </c>
      <c r="E151" s="679">
        <f t="shared" si="26"/>
        <v>386184.89999999997</v>
      </c>
      <c r="F151" s="679">
        <f t="shared" si="27"/>
        <v>466512.59999999992</v>
      </c>
      <c r="G151" s="679">
        <f t="shared" si="28"/>
        <v>544386.89999999991</v>
      </c>
      <c r="H151" s="679">
        <f t="shared" si="29"/>
        <v>587321.39999999991</v>
      </c>
      <c r="I151" s="679">
        <f t="shared" si="30"/>
        <v>768379.5</v>
      </c>
      <c r="J151" s="679">
        <f t="shared" si="31"/>
        <v>0</v>
      </c>
    </row>
    <row r="152" spans="2:10" ht="15">
      <c r="B152" s="680">
        <f t="shared" si="23"/>
        <v>42.8</v>
      </c>
      <c r="C152" s="679">
        <f t="shared" si="24"/>
        <v>369620.8</v>
      </c>
      <c r="D152" s="679">
        <f t="shared" si="25"/>
        <v>380805.86666666664</v>
      </c>
      <c r="E152" s="679">
        <f t="shared" si="26"/>
        <v>390749.73333333328</v>
      </c>
      <c r="F152" s="679">
        <f t="shared" si="27"/>
        <v>472026.93333333329</v>
      </c>
      <c r="G152" s="679">
        <f t="shared" si="28"/>
        <v>550821.73333333328</v>
      </c>
      <c r="H152" s="679">
        <f t="shared" si="29"/>
        <v>594263.73333333328</v>
      </c>
      <c r="I152" s="679">
        <f t="shared" si="30"/>
        <v>777462</v>
      </c>
      <c r="J152" s="679">
        <f t="shared" si="31"/>
        <v>0</v>
      </c>
    </row>
    <row r="153" spans="2:10" ht="15">
      <c r="B153" s="680">
        <f t="shared" si="23"/>
        <v>52</v>
      </c>
      <c r="C153" s="679">
        <f t="shared" si="24"/>
        <v>449072</v>
      </c>
      <c r="D153" s="679">
        <f t="shared" si="25"/>
        <v>462661.33333333337</v>
      </c>
      <c r="E153" s="679">
        <f t="shared" si="26"/>
        <v>474742.66666666663</v>
      </c>
      <c r="F153" s="679">
        <f t="shared" si="27"/>
        <v>573490.66666666663</v>
      </c>
      <c r="G153" s="679">
        <f t="shared" si="28"/>
        <v>669222.66666666663</v>
      </c>
      <c r="H153" s="679">
        <f t="shared" si="29"/>
        <v>722002.66666666663</v>
      </c>
      <c r="I153" s="679">
        <f t="shared" si="30"/>
        <v>944580</v>
      </c>
      <c r="J153" s="679">
        <f t="shared" si="31"/>
        <v>0</v>
      </c>
    </row>
    <row r="154" spans="2:10" ht="15">
      <c r="B154" s="680">
        <f t="shared" si="23"/>
        <v>46.2</v>
      </c>
      <c r="C154" s="679">
        <f t="shared" si="24"/>
        <v>398983.2</v>
      </c>
      <c r="D154" s="679">
        <f t="shared" si="25"/>
        <v>411056.80000000005</v>
      </c>
      <c r="E154" s="679">
        <f t="shared" si="26"/>
        <v>421790.6</v>
      </c>
      <c r="F154" s="679">
        <f t="shared" si="27"/>
        <v>509524.4</v>
      </c>
      <c r="G154" s="679">
        <f t="shared" si="28"/>
        <v>594578.6</v>
      </c>
      <c r="H154" s="679">
        <f t="shared" si="29"/>
        <v>641471.6</v>
      </c>
      <c r="I154" s="679">
        <f t="shared" si="30"/>
        <v>839223</v>
      </c>
      <c r="J154" s="679">
        <f t="shared" si="31"/>
        <v>0</v>
      </c>
    </row>
    <row r="155" spans="2:10" ht="32.25" customHeight="1">
      <c r="B155" s="681" t="s">
        <v>761</v>
      </c>
      <c r="C155" s="683">
        <f>AVERAGE(C134:C154)</f>
        <v>238312.47619047615</v>
      </c>
      <c r="D155" s="683">
        <f t="shared" ref="D155:J155" si="32">AVERAGE(D134:D154)</f>
        <v>245524.03174603172</v>
      </c>
      <c r="E155" s="683">
        <f t="shared" si="32"/>
        <v>251935.32539682538</v>
      </c>
      <c r="F155" s="683">
        <f t="shared" si="32"/>
        <v>304338.68253968254</v>
      </c>
      <c r="G155" s="683">
        <f t="shared" si="32"/>
        <v>355141.5158730158</v>
      </c>
      <c r="H155" s="683">
        <f t="shared" si="32"/>
        <v>383150.68253968249</v>
      </c>
      <c r="I155" s="683">
        <f t="shared" si="32"/>
        <v>501267.5</v>
      </c>
      <c r="J155" s="683">
        <f t="shared" si="32"/>
        <v>0</v>
      </c>
    </row>
    <row r="156" spans="2:10">
      <c r="B156" s="682" t="s">
        <v>633</v>
      </c>
      <c r="C156" s="683">
        <f>C155</f>
        <v>238312.47619047615</v>
      </c>
      <c r="D156" s="683">
        <f t="shared" ref="D156:J156" si="33">D155</f>
        <v>245524.03174603172</v>
      </c>
      <c r="E156" s="683">
        <f t="shared" si="33"/>
        <v>251935.32539682538</v>
      </c>
      <c r="F156" s="683">
        <f t="shared" si="33"/>
        <v>304338.68253968254</v>
      </c>
      <c r="G156" s="683">
        <f t="shared" si="33"/>
        <v>355141.5158730158</v>
      </c>
      <c r="H156" s="683">
        <f t="shared" si="33"/>
        <v>383150.68253968249</v>
      </c>
      <c r="I156" s="683">
        <f t="shared" si="33"/>
        <v>501267.5</v>
      </c>
      <c r="J156" s="683">
        <f t="shared" si="33"/>
        <v>0</v>
      </c>
    </row>
    <row r="157" spans="2:10">
      <c r="B157" s="682" t="s">
        <v>762</v>
      </c>
      <c r="C157" s="683">
        <f>C156*1.2</f>
        <v>285974.97142857139</v>
      </c>
      <c r="D157" s="683">
        <f t="shared" ref="D157:J157" si="34">D156*1.2</f>
        <v>294628.83809523802</v>
      </c>
      <c r="E157" s="683">
        <f t="shared" si="34"/>
        <v>302322.39047619043</v>
      </c>
      <c r="F157" s="683">
        <f t="shared" si="34"/>
        <v>365206.41904761904</v>
      </c>
      <c r="G157" s="683">
        <f t="shared" si="34"/>
        <v>426169.81904761895</v>
      </c>
      <c r="H157" s="683">
        <f t="shared" si="34"/>
        <v>459780.81904761895</v>
      </c>
      <c r="I157" s="683">
        <f t="shared" si="34"/>
        <v>601521</v>
      </c>
      <c r="J157" s="683">
        <f t="shared" si="34"/>
        <v>0</v>
      </c>
    </row>
  </sheetData>
  <sheetProtection algorithmName="SHA-512" hashValue="3ZnEBnEI2+GQl/yDFLpb2sIAMK2uztYmx8aGORKpF/TE9/jMAmL+P9p+firZH2ydf6cpZu0mFXERtA9zV0zoLA==" saltValue="j6J3dDKMz5JVcTOwNJatgQ==" spinCount="100000" sheet="1" formatCells="0" formatColumns="0" formatRows="0" insertColumns="0" insertRows="0" insertHyperlinks="0" deleteColumns="0" deleteRows="0" sort="0" autoFilter="0" pivotTables="0"/>
  <autoFilter ref="B47:K127" xr:uid="{00000000-0009-0000-0000-000004000000}">
    <sortState xmlns:xlrd2="http://schemas.microsoft.com/office/spreadsheetml/2017/richdata2" ref="B48:K127">
      <sortCondition ref="C47"/>
    </sortState>
  </autoFilter>
  <mergeCells count="15">
    <mergeCell ref="B30:M30"/>
    <mergeCell ref="B1:C1"/>
    <mergeCell ref="B9:C9"/>
    <mergeCell ref="E2:F2"/>
    <mergeCell ref="J33:K33"/>
    <mergeCell ref="B32:I32"/>
    <mergeCell ref="B132:J132"/>
    <mergeCell ref="B129:I129"/>
    <mergeCell ref="B33:B35"/>
    <mergeCell ref="B46:K46"/>
    <mergeCell ref="C33:G33"/>
    <mergeCell ref="H33:I33"/>
    <mergeCell ref="F34:G34"/>
    <mergeCell ref="H34:I34"/>
    <mergeCell ref="J34:K34"/>
  </mergeCells>
  <phoneticPr fontId="77" type="noConversion"/>
  <dataValidations count="2">
    <dataValidation type="list" allowBlank="1" showInputMessage="1" showErrorMessage="1" error="MUNICIPIO NO VÁLIDO" prompt="SELECCIONE EL MPIO" sqref="B17" xr:uid="{00000000-0002-0000-0400-000000000000}">
      <formula1>$B$48:$B$127</formula1>
    </dataValidation>
    <dataValidation type="list" allowBlank="1" showInputMessage="1" showErrorMessage="1" sqref="B21" xr:uid="{00000000-0002-0000-0400-000001000000}">
      <formula1>#REF!</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sheetPr>
  <dimension ref="A1:AA445"/>
  <sheetViews>
    <sheetView showGridLines="0" defaultGridColor="0" colorId="22" zoomScale="70" zoomScaleNormal="70" workbookViewId="0">
      <pane ySplit="3" topLeftCell="A4" activePane="bottomLeft" state="frozen"/>
      <selection activeCell="D11" sqref="D11"/>
      <selection pane="bottomLeft" activeCell="A5" sqref="A5:G5"/>
    </sheetView>
  </sheetViews>
  <sheetFormatPr baseColWidth="10" defaultColWidth="12" defaultRowHeight="12.75"/>
  <cols>
    <col min="1" max="1" width="77.33203125" style="469" customWidth="1"/>
    <col min="2" max="2" width="12.6640625" style="469" customWidth="1"/>
    <col min="3" max="3" width="15.33203125" style="469" customWidth="1"/>
    <col min="4" max="4" width="19.6640625" style="490" customWidth="1"/>
    <col min="5" max="6" width="17.83203125" style="490" customWidth="1"/>
    <col min="7" max="7" width="20.33203125" style="490" customWidth="1"/>
    <col min="8" max="8" width="9.6640625" style="469" customWidth="1"/>
    <col min="9" max="9" width="21.6640625" style="469" customWidth="1"/>
    <col min="10" max="10" width="24.1640625" style="469" customWidth="1"/>
    <col min="11" max="11" width="17.33203125" style="469" customWidth="1"/>
    <col min="12" max="12" width="19.83203125" style="469" customWidth="1"/>
    <col min="13" max="13" width="21.33203125" style="469" customWidth="1"/>
    <col min="14" max="20" width="12" style="469" customWidth="1"/>
    <col min="21" max="16384" width="12" style="469"/>
  </cols>
  <sheetData>
    <row r="1" spans="1:13" ht="18" customHeight="1">
      <c r="A1" s="1317" t="s">
        <v>891</v>
      </c>
      <c r="B1" s="1317"/>
      <c r="C1" s="1317"/>
      <c r="D1" s="1317"/>
      <c r="E1" s="1317"/>
      <c r="F1" s="1317"/>
      <c r="G1" s="1317"/>
      <c r="I1" s="507"/>
      <c r="J1" s="477" t="s">
        <v>406</v>
      </c>
      <c r="K1" s="508" t="s">
        <v>407</v>
      </c>
    </row>
    <row r="2" spans="1:13" ht="12" customHeight="1" thickBot="1">
      <c r="I2" s="509"/>
      <c r="J2" s="477" t="s">
        <v>408</v>
      </c>
      <c r="K2" s="508" t="s">
        <v>409</v>
      </c>
    </row>
    <row r="3" spans="1:13" s="478" customFormat="1" ht="41.25" customHeight="1" thickTop="1" thickBot="1">
      <c r="A3" s="368" t="s">
        <v>410</v>
      </c>
      <c r="B3" s="369" t="s">
        <v>411</v>
      </c>
      <c r="C3" s="370" t="s">
        <v>412</v>
      </c>
      <c r="D3" s="371" t="s">
        <v>413</v>
      </c>
      <c r="E3" s="371" t="s">
        <v>414</v>
      </c>
      <c r="F3" s="371" t="s">
        <v>415</v>
      </c>
      <c r="G3" s="372" t="s">
        <v>416</v>
      </c>
      <c r="H3" s="510"/>
    </row>
    <row r="4" spans="1:13" ht="11.25" customHeight="1" thickTop="1" thickBot="1">
      <c r="A4" s="373"/>
      <c r="B4" s="374"/>
      <c r="C4" s="375"/>
      <c r="D4" s="376"/>
      <c r="E4" s="377"/>
      <c r="F4" s="376"/>
      <c r="G4" s="377"/>
      <c r="H4" s="511"/>
    </row>
    <row r="5" spans="1:13" ht="30" customHeight="1" thickTop="1">
      <c r="A5" s="1299" t="s">
        <v>828</v>
      </c>
      <c r="B5" s="1300"/>
      <c r="C5" s="1300"/>
      <c r="D5" s="1300"/>
      <c r="E5" s="1300"/>
      <c r="F5" s="1300"/>
      <c r="G5" s="1301"/>
      <c r="H5" s="511"/>
    </row>
    <row r="6" spans="1:13">
      <c r="A6" s="512" t="s">
        <v>417</v>
      </c>
      <c r="B6" s="513" t="s">
        <v>418</v>
      </c>
      <c r="C6" s="514">
        <v>4</v>
      </c>
      <c r="D6" s="515">
        <f>'Salarios y transporte'!C4</f>
        <v>149896</v>
      </c>
      <c r="E6" s="516"/>
      <c r="F6" s="515">
        <f>+D6/C6</f>
        <v>37474</v>
      </c>
      <c r="G6" s="517">
        <f>+D6/C6</f>
        <v>37474</v>
      </c>
      <c r="H6" s="511"/>
    </row>
    <row r="7" spans="1:13">
      <c r="A7" s="512" t="s">
        <v>419</v>
      </c>
      <c r="B7" s="513" t="s">
        <v>420</v>
      </c>
      <c r="C7" s="518">
        <v>0.05</v>
      </c>
      <c r="D7" s="519">
        <f>+G6</f>
        <v>37474</v>
      </c>
      <c r="E7" s="520"/>
      <c r="F7" s="519">
        <f>+D7*C7</f>
        <v>1873.7</v>
      </c>
      <c r="G7" s="521">
        <f>+D7*C7</f>
        <v>1873.7</v>
      </c>
      <c r="H7" s="511"/>
    </row>
    <row r="8" spans="1:13" ht="12" customHeight="1" thickBot="1">
      <c r="A8" s="512"/>
      <c r="B8" s="513"/>
      <c r="C8" s="518"/>
      <c r="D8" s="522"/>
      <c r="E8" s="523"/>
      <c r="F8" s="522"/>
      <c r="G8" s="378"/>
      <c r="H8" s="511"/>
    </row>
    <row r="9" spans="1:13" ht="13.5" customHeight="1" thickTop="1" thickBot="1">
      <c r="A9" s="379" t="s">
        <v>421</v>
      </c>
      <c r="B9" s="524"/>
      <c r="C9" s="525"/>
      <c r="D9" s="526"/>
      <c r="E9" s="527"/>
      <c r="F9" s="380">
        <f>SUM(F6:F7)</f>
        <v>39347.699999999997</v>
      </c>
      <c r="G9" s="381">
        <f>SUM(G6:G7)</f>
        <v>39347.699999999997</v>
      </c>
      <c r="H9" s="511"/>
      <c r="I9" s="528"/>
      <c r="M9" s="490"/>
    </row>
    <row r="10" spans="1:13" ht="14.25" thickTop="1" thickBot="1">
      <c r="A10" s="382"/>
      <c r="B10" s="383"/>
      <c r="C10" s="384"/>
      <c r="D10" s="385"/>
      <c r="E10" s="386"/>
      <c r="F10" s="385"/>
      <c r="G10" s="386"/>
    </row>
    <row r="11" spans="1:13" ht="30" customHeight="1" thickTop="1">
      <c r="A11" s="1318" t="s">
        <v>422</v>
      </c>
      <c r="B11" s="1319"/>
      <c r="C11" s="1319"/>
      <c r="D11" s="1319"/>
      <c r="E11" s="1319"/>
      <c r="F11" s="1319"/>
      <c r="G11" s="1320"/>
    </row>
    <row r="12" spans="1:13">
      <c r="A12" s="529" t="s">
        <v>423</v>
      </c>
      <c r="B12" s="471" t="s">
        <v>424</v>
      </c>
      <c r="C12" s="530">
        <v>3</v>
      </c>
      <c r="D12" s="500">
        <f>'Actualizacion de precios'!C16</f>
        <v>38590</v>
      </c>
      <c r="E12" s="520"/>
      <c r="F12" s="519">
        <f>+D12*C12</f>
        <v>115770</v>
      </c>
      <c r="G12" s="531">
        <f>+D12*C12</f>
        <v>115770</v>
      </c>
    </row>
    <row r="13" spans="1:13">
      <c r="A13" s="529" t="s">
        <v>425</v>
      </c>
      <c r="B13" s="471" t="s">
        <v>426</v>
      </c>
      <c r="C13" s="532">
        <v>3</v>
      </c>
      <c r="D13" s="515">
        <f>'Salarios y transporte'!C8</f>
        <v>143542</v>
      </c>
      <c r="E13" s="516"/>
      <c r="F13" s="515">
        <f>+D13/C13</f>
        <v>47847.333333333336</v>
      </c>
      <c r="G13" s="533">
        <f>+D13/C13</f>
        <v>47847.333333333336</v>
      </c>
    </row>
    <row r="14" spans="1:13">
      <c r="A14" s="529" t="s">
        <v>427</v>
      </c>
      <c r="B14" s="471" t="s">
        <v>426</v>
      </c>
      <c r="C14" s="532">
        <v>4</v>
      </c>
      <c r="D14" s="515">
        <f>+'Salarios y transporte'!C3</f>
        <v>74948</v>
      </c>
      <c r="E14" s="516"/>
      <c r="F14" s="515">
        <f>+D14/C14</f>
        <v>18737</v>
      </c>
      <c r="G14" s="533">
        <f>+D14/C14</f>
        <v>18737</v>
      </c>
    </row>
    <row r="15" spans="1:13" ht="12.75" customHeight="1">
      <c r="A15" s="512" t="s">
        <v>419</v>
      </c>
      <c r="B15" s="534" t="s">
        <v>420</v>
      </c>
      <c r="C15" s="472">
        <v>0.05</v>
      </c>
      <c r="D15" s="519">
        <f>+G14+G13</f>
        <v>66584.333333333343</v>
      </c>
      <c r="E15" s="520"/>
      <c r="F15" s="519">
        <f>+D15*C15</f>
        <v>3329.2166666666672</v>
      </c>
      <c r="G15" s="535">
        <f>+D15*C15</f>
        <v>3329.2166666666672</v>
      </c>
    </row>
    <row r="16" spans="1:13" ht="8.1" customHeight="1" thickBot="1">
      <c r="A16" s="512"/>
      <c r="B16" s="387"/>
      <c r="C16" s="388"/>
      <c r="D16" s="522"/>
      <c r="E16" s="523"/>
      <c r="F16" s="522"/>
      <c r="G16" s="389"/>
    </row>
    <row r="17" spans="1:12" ht="13.5" customHeight="1" thickTop="1" thickBot="1">
      <c r="A17" s="379" t="s">
        <v>421</v>
      </c>
      <c r="B17" s="524"/>
      <c r="C17" s="525"/>
      <c r="D17" s="526"/>
      <c r="E17" s="527"/>
      <c r="F17" s="380">
        <f>SUM(F12:F16)</f>
        <v>185683.55000000002</v>
      </c>
      <c r="G17" s="381">
        <f>SUM(G12:G16)</f>
        <v>185683.55000000002</v>
      </c>
      <c r="H17" s="511"/>
    </row>
    <row r="18" spans="1:12" ht="14.25" thickTop="1" thickBot="1">
      <c r="A18" s="382"/>
      <c r="B18" s="383"/>
      <c r="C18" s="384"/>
      <c r="D18" s="385"/>
      <c r="E18" s="386"/>
      <c r="F18" s="385"/>
      <c r="G18" s="386"/>
    </row>
    <row r="19" spans="1:12" ht="27.75" customHeight="1" thickTop="1">
      <c r="A19" s="1299" t="s">
        <v>428</v>
      </c>
      <c r="B19" s="1300"/>
      <c r="C19" s="1300"/>
      <c r="D19" s="1300"/>
      <c r="E19" s="1300"/>
      <c r="F19" s="1300"/>
      <c r="G19" s="1301"/>
      <c r="H19" s="511"/>
    </row>
    <row r="20" spans="1:12">
      <c r="A20" s="512" t="s">
        <v>429</v>
      </c>
      <c r="B20" s="513" t="s">
        <v>426</v>
      </c>
      <c r="C20" s="514">
        <v>6</v>
      </c>
      <c r="D20" s="515">
        <f>'Salarios y transporte'!C4</f>
        <v>149896</v>
      </c>
      <c r="E20" s="516"/>
      <c r="F20" s="515">
        <f>+D20/C20</f>
        <v>24982.666666666668</v>
      </c>
      <c r="G20" s="533">
        <f>+D20/C20</f>
        <v>24982.666666666668</v>
      </c>
      <c r="H20" s="474"/>
      <c r="I20" s="536"/>
    </row>
    <row r="21" spans="1:12">
      <c r="A21" s="512" t="s">
        <v>419</v>
      </c>
      <c r="B21" s="513" t="s">
        <v>420</v>
      </c>
      <c r="C21" s="518">
        <v>0.05</v>
      </c>
      <c r="D21" s="519">
        <f>+G20</f>
        <v>24982.666666666668</v>
      </c>
      <c r="E21" s="520"/>
      <c r="F21" s="519">
        <f>+D21*C21</f>
        <v>1249.1333333333334</v>
      </c>
      <c r="G21" s="535">
        <f>+D21*C21</f>
        <v>1249.1333333333334</v>
      </c>
      <c r="H21" s="474"/>
      <c r="I21" s="536"/>
    </row>
    <row r="22" spans="1:12" ht="8.1" customHeight="1" thickBot="1">
      <c r="A22" s="512"/>
      <c r="B22" s="513"/>
      <c r="C22" s="518"/>
      <c r="D22" s="522"/>
      <c r="E22" s="523"/>
      <c r="F22" s="522"/>
      <c r="G22" s="389"/>
      <c r="H22" s="537"/>
      <c r="I22" s="536"/>
    </row>
    <row r="23" spans="1:12" ht="13.5" customHeight="1" thickTop="1" thickBot="1">
      <c r="A23" s="379" t="s">
        <v>421</v>
      </c>
      <c r="B23" s="524"/>
      <c r="C23" s="525"/>
      <c r="D23" s="526"/>
      <c r="E23" s="527"/>
      <c r="F23" s="380">
        <f>SUM(F20:F22)</f>
        <v>26231.800000000003</v>
      </c>
      <c r="G23" s="381">
        <f>SUM(G20:G22)</f>
        <v>26231.800000000003</v>
      </c>
      <c r="H23" s="511"/>
    </row>
    <row r="24" spans="1:12" ht="14.25" thickTop="1" thickBot="1">
      <c r="A24" s="382"/>
      <c r="B24" s="374"/>
      <c r="C24" s="375"/>
      <c r="D24" s="376"/>
      <c r="E24" s="390"/>
      <c r="F24" s="376"/>
      <c r="G24" s="386"/>
      <c r="H24" s="537"/>
      <c r="I24" s="470"/>
    </row>
    <row r="25" spans="1:12" ht="30" customHeight="1" thickTop="1">
      <c r="A25" s="1299" t="s">
        <v>430</v>
      </c>
      <c r="B25" s="1300"/>
      <c r="C25" s="1300"/>
      <c r="D25" s="1300"/>
      <c r="E25" s="1300"/>
      <c r="F25" s="1300"/>
      <c r="G25" s="1301"/>
      <c r="H25" s="511"/>
    </row>
    <row r="26" spans="1:12">
      <c r="A26" s="529" t="s">
        <v>431</v>
      </c>
      <c r="B26" s="471" t="s">
        <v>426</v>
      </c>
      <c r="C26" s="538">
        <v>25</v>
      </c>
      <c r="D26" s="515">
        <f>+'Salarios y transporte'!C3</f>
        <v>74948</v>
      </c>
      <c r="E26" s="516"/>
      <c r="F26" s="515">
        <f>+D26/C26</f>
        <v>2997.92</v>
      </c>
      <c r="G26" s="533">
        <f>+D26/C26</f>
        <v>2997.92</v>
      </c>
      <c r="H26" s="511"/>
    </row>
    <row r="27" spans="1:12">
      <c r="A27" s="512" t="s">
        <v>419</v>
      </c>
      <c r="B27" s="471" t="s">
        <v>420</v>
      </c>
      <c r="C27" s="472">
        <v>0.05</v>
      </c>
      <c r="D27" s="519">
        <f>+G26</f>
        <v>2997.92</v>
      </c>
      <c r="E27" s="520"/>
      <c r="F27" s="519">
        <f>+D27*C27</f>
        <v>149.89600000000002</v>
      </c>
      <c r="G27" s="531">
        <f>+D27*C27</f>
        <v>149.89600000000002</v>
      </c>
      <c r="H27" s="511"/>
    </row>
    <row r="28" spans="1:12" ht="12" customHeight="1" thickBot="1">
      <c r="A28" s="512"/>
      <c r="B28" s="387"/>
      <c r="C28" s="388"/>
      <c r="D28" s="522"/>
      <c r="E28" s="522"/>
      <c r="F28" s="522"/>
      <c r="G28" s="389"/>
      <c r="H28" s="511"/>
    </row>
    <row r="29" spans="1:12" ht="13.5" customHeight="1" thickTop="1" thickBot="1">
      <c r="A29" s="379" t="s">
        <v>421</v>
      </c>
      <c r="B29" s="524"/>
      <c r="C29" s="525"/>
      <c r="D29" s="526"/>
      <c r="E29" s="527"/>
      <c r="F29" s="380">
        <f>SUM(F26:F28)</f>
        <v>3147.8160000000003</v>
      </c>
      <c r="G29" s="381">
        <f>SUM(G26:G28)</f>
        <v>3147.8160000000003</v>
      </c>
      <c r="H29" s="511"/>
    </row>
    <row r="30" spans="1:12" ht="14.25" thickTop="1" thickBot="1">
      <c r="A30" s="472"/>
      <c r="B30" s="471"/>
      <c r="C30" s="472"/>
      <c r="D30" s="522"/>
      <c r="E30" s="523"/>
      <c r="F30" s="522"/>
      <c r="H30" s="511"/>
    </row>
    <row r="31" spans="1:12" ht="30" customHeight="1" thickTop="1">
      <c r="A31" s="1299" t="s">
        <v>432</v>
      </c>
      <c r="B31" s="1300"/>
      <c r="C31" s="1300"/>
      <c r="D31" s="1300"/>
      <c r="E31" s="1300"/>
      <c r="F31" s="1300"/>
      <c r="G31" s="1301"/>
      <c r="H31" s="511"/>
    </row>
    <row r="32" spans="1:12">
      <c r="A32" s="529" t="s">
        <v>433</v>
      </c>
      <c r="B32" s="471" t="s">
        <v>97</v>
      </c>
      <c r="C32" s="472">
        <v>1.05</v>
      </c>
      <c r="D32" s="587">
        <f>'Actualizacion de precios'!C31</f>
        <v>15121.5</v>
      </c>
      <c r="E32" s="519">
        <f>G32-F32</f>
        <v>2535.0750000000007</v>
      </c>
      <c r="F32" s="519">
        <f>C32*(D32/1.19)</f>
        <v>13342.5</v>
      </c>
      <c r="G32" s="539">
        <f>D32*C32</f>
        <v>15877.575000000001</v>
      </c>
      <c r="H32" s="511"/>
      <c r="I32" s="511">
        <f>'ppto sistema septico'!V17</f>
        <v>413.5</v>
      </c>
      <c r="J32" s="540">
        <f>$I$32*(F32+F33+F35)</f>
        <v>13174390.306576807</v>
      </c>
      <c r="K32" s="540">
        <f>$I$32*(G32+G33+G35)</f>
        <v>15677524.464826399</v>
      </c>
      <c r="L32" s="490">
        <f>K32-J32</f>
        <v>2503134.1582495924</v>
      </c>
    </row>
    <row r="33" spans="1:27">
      <c r="A33" s="512" t="s">
        <v>434</v>
      </c>
      <c r="B33" s="513" t="s">
        <v>420</v>
      </c>
      <c r="C33" s="530">
        <v>1</v>
      </c>
      <c r="D33" s="500">
        <f>'Actualizacion de precios'!C5</f>
        <v>20384.531686400001</v>
      </c>
      <c r="E33" s="519">
        <f t="shared" ref="E33:E37" si="0">G33-F33</f>
        <v>3254.6731264000009</v>
      </c>
      <c r="F33" s="519">
        <f>C33*(D33/1.19)</f>
        <v>17129.858560000001</v>
      </c>
      <c r="G33" s="531">
        <f>+C33*(D33)</f>
        <v>20384.531686400001</v>
      </c>
      <c r="H33" s="511"/>
      <c r="I33" s="490"/>
      <c r="K33" s="490"/>
    </row>
    <row r="34" spans="1:27">
      <c r="A34" s="529" t="s">
        <v>435</v>
      </c>
      <c r="B34" s="513" t="s">
        <v>436</v>
      </c>
      <c r="C34" s="541">
        <v>1E-3</v>
      </c>
      <c r="D34" s="597">
        <f>'Salarios y transporte'!C28</f>
        <v>301806.66222222219</v>
      </c>
      <c r="E34" s="519">
        <f t="shared" si="0"/>
        <v>0</v>
      </c>
      <c r="F34" s="519">
        <f>+D34*C34</f>
        <v>301.8066622222222</v>
      </c>
      <c r="G34" s="531">
        <f>+D34*C34</f>
        <v>301.8066622222222</v>
      </c>
      <c r="H34" s="511"/>
      <c r="K34" s="490"/>
    </row>
    <row r="35" spans="1:27">
      <c r="A35" s="529" t="s">
        <v>437</v>
      </c>
      <c r="B35" s="471" t="s">
        <v>438</v>
      </c>
      <c r="C35" s="530">
        <v>0.15</v>
      </c>
      <c r="D35" s="500">
        <f>'Actualizacion de precios'!C19</f>
        <v>11014</v>
      </c>
      <c r="E35" s="519">
        <f t="shared" si="0"/>
        <v>263.78067226890744</v>
      </c>
      <c r="F35" s="519">
        <f>+D35*C35/1.19</f>
        <v>1388.3193277310925</v>
      </c>
      <c r="G35" s="531">
        <f>+D35*C35</f>
        <v>1652.1</v>
      </c>
      <c r="H35" s="511"/>
      <c r="K35" s="490"/>
    </row>
    <row r="36" spans="1:27">
      <c r="A36" s="529" t="s">
        <v>439</v>
      </c>
      <c r="B36" s="471" t="s">
        <v>440</v>
      </c>
      <c r="C36" s="538">
        <v>50</v>
      </c>
      <c r="D36" s="515">
        <f>'Salarios y transporte'!C5</f>
        <v>218490</v>
      </c>
      <c r="E36" s="515">
        <f>G36-F36</f>
        <v>0</v>
      </c>
      <c r="F36" s="515">
        <f>+D36/C36</f>
        <v>4369.8</v>
      </c>
      <c r="G36" s="533">
        <f>+D36/C36</f>
        <v>4369.8</v>
      </c>
      <c r="H36" s="511"/>
      <c r="K36" s="490"/>
    </row>
    <row r="37" spans="1:27">
      <c r="A37" s="512" t="s">
        <v>419</v>
      </c>
      <c r="B37" s="471" t="s">
        <v>420</v>
      </c>
      <c r="C37" s="472">
        <v>0.05</v>
      </c>
      <c r="D37" s="519">
        <f>+G36</f>
        <v>4369.8</v>
      </c>
      <c r="E37" s="519">
        <f t="shared" si="0"/>
        <v>0</v>
      </c>
      <c r="F37" s="519">
        <f>+D37*C37</f>
        <v>218.49</v>
      </c>
      <c r="G37" s="535">
        <f>+D37*C37</f>
        <v>218.49</v>
      </c>
      <c r="H37" s="511"/>
      <c r="K37" s="391"/>
    </row>
    <row r="38" spans="1:27" ht="13.5" customHeight="1" thickBot="1">
      <c r="A38" s="529"/>
      <c r="B38" s="471"/>
      <c r="C38" s="472"/>
      <c r="D38" s="522"/>
      <c r="E38" s="523"/>
      <c r="F38" s="522"/>
      <c r="G38" s="389"/>
      <c r="H38" s="511"/>
      <c r="AA38" s="490">
        <f>+'A.P.U. 2024'!G3127</f>
        <v>0</v>
      </c>
    </row>
    <row r="39" spans="1:27" ht="13.5" customHeight="1" thickTop="1" thickBot="1">
      <c r="A39" s="379" t="s">
        <v>441</v>
      </c>
      <c r="B39" s="524"/>
      <c r="C39" s="525"/>
      <c r="D39" s="526"/>
      <c r="E39" s="527"/>
      <c r="F39" s="380">
        <f>SUM(F32:F38)</f>
        <v>36750.774549953312</v>
      </c>
      <c r="G39" s="381">
        <f>SUM(G32:G38)</f>
        <v>42804.303348622227</v>
      </c>
      <c r="H39" s="511"/>
      <c r="K39" s="490"/>
      <c r="N39" s="469" t="s">
        <v>442</v>
      </c>
    </row>
    <row r="40" spans="1:27" ht="13.5" customHeight="1" thickTop="1" thickBot="1">
      <c r="A40" s="405"/>
      <c r="B40" s="898"/>
      <c r="C40" s="899"/>
      <c r="D40" s="900"/>
      <c r="E40" s="901"/>
      <c r="F40" s="380"/>
      <c r="G40" s="902"/>
      <c r="H40" s="511"/>
      <c r="K40" s="490"/>
    </row>
    <row r="41" spans="1:27" ht="29.45" customHeight="1" thickTop="1">
      <c r="A41" s="1314" t="s">
        <v>803</v>
      </c>
      <c r="B41" s="1315"/>
      <c r="C41" s="1315"/>
      <c r="D41" s="1315"/>
      <c r="E41" s="1315"/>
      <c r="F41" s="1315"/>
      <c r="G41" s="1316"/>
      <c r="H41" s="511"/>
      <c r="K41" s="490"/>
    </row>
    <row r="42" spans="1:27" ht="16.149999999999999" customHeight="1">
      <c r="A42" s="529" t="s">
        <v>802</v>
      </c>
      <c r="B42" s="471" t="s">
        <v>97</v>
      </c>
      <c r="C42" s="472">
        <v>1.05</v>
      </c>
      <c r="D42" s="587">
        <f>'Actualizacion de precios'!C33</f>
        <v>31764.833333333332</v>
      </c>
      <c r="E42" s="523">
        <f>G42-F42</f>
        <v>5325.2808823529376</v>
      </c>
      <c r="F42" s="523">
        <f>C42*(D42/1.19)</f>
        <v>28027.794117647059</v>
      </c>
      <c r="G42" s="539">
        <f>D42*C42</f>
        <v>33353.074999999997</v>
      </c>
      <c r="H42" s="511"/>
      <c r="I42" s="511">
        <f>+'ppto sistema septico'!V19</f>
        <v>1</v>
      </c>
      <c r="J42" s="490">
        <f>+$I$42*(F42+F43+F45)</f>
        <v>34065.794883495801</v>
      </c>
      <c r="K42" s="490">
        <f>+$I$42*(G42+G43+G45)</f>
        <v>40538.295911359994</v>
      </c>
      <c r="L42" s="490">
        <f>+K42-J42</f>
        <v>6472.501027864193</v>
      </c>
    </row>
    <row r="43" spans="1:27" ht="14.45" customHeight="1">
      <c r="A43" s="512" t="s">
        <v>434</v>
      </c>
      <c r="B43" s="513" t="s">
        <v>420</v>
      </c>
      <c r="C43" s="530">
        <v>1</v>
      </c>
      <c r="D43" s="522">
        <f>'Actualizacion de precios'!C6</f>
        <v>5533.1209113599998</v>
      </c>
      <c r="E43" s="523">
        <f t="shared" ref="E43:E47" si="1">G43-F43</f>
        <v>883.43947324235251</v>
      </c>
      <c r="F43" s="523">
        <f>C43*(D43/1.19)</f>
        <v>4649.6814381176473</v>
      </c>
      <c r="G43" s="531">
        <f>+C43*(D43)</f>
        <v>5533.1209113599998</v>
      </c>
      <c r="H43" s="511"/>
      <c r="K43" s="490"/>
    </row>
    <row r="44" spans="1:27" ht="14.45" customHeight="1">
      <c r="A44" s="529" t="s">
        <v>435</v>
      </c>
      <c r="B44" s="513" t="s">
        <v>436</v>
      </c>
      <c r="C44" s="541">
        <v>1E-3</v>
      </c>
      <c r="D44" s="597">
        <f>'Salarios y transporte'!C28</f>
        <v>301806.66222222219</v>
      </c>
      <c r="E44" s="523">
        <f t="shared" si="1"/>
        <v>0</v>
      </c>
      <c r="F44" s="523">
        <f>+D44*C44</f>
        <v>301.8066622222222</v>
      </c>
      <c r="G44" s="531">
        <f>+D44*C44</f>
        <v>301.8066622222222</v>
      </c>
      <c r="H44" s="511"/>
      <c r="K44" s="490"/>
    </row>
    <row r="45" spans="1:27" ht="13.9" customHeight="1">
      <c r="A45" s="529" t="s">
        <v>437</v>
      </c>
      <c r="B45" s="471" t="s">
        <v>438</v>
      </c>
      <c r="C45" s="530">
        <v>0.15</v>
      </c>
      <c r="D45" s="522">
        <f>'Actualizacion de precios'!C19</f>
        <v>11014</v>
      </c>
      <c r="E45" s="523">
        <f t="shared" si="1"/>
        <v>263.78067226890744</v>
      </c>
      <c r="F45" s="523">
        <f>+D45*C45/1.19</f>
        <v>1388.3193277310925</v>
      </c>
      <c r="G45" s="531">
        <f>+D45*C45</f>
        <v>1652.1</v>
      </c>
      <c r="H45" s="511"/>
      <c r="K45" s="490"/>
    </row>
    <row r="46" spans="1:27" ht="13.5" customHeight="1">
      <c r="A46" s="529" t="s">
        <v>811</v>
      </c>
      <c r="B46" s="471" t="s">
        <v>440</v>
      </c>
      <c r="C46" s="538">
        <v>40</v>
      </c>
      <c r="D46" s="533">
        <f>'Salarios y transporte'!C5</f>
        <v>218490</v>
      </c>
      <c r="E46" s="533">
        <f t="shared" si="1"/>
        <v>0</v>
      </c>
      <c r="F46" s="533">
        <f>+D46/C46</f>
        <v>5462.25</v>
      </c>
      <c r="G46" s="533">
        <f>+D46/C46</f>
        <v>5462.25</v>
      </c>
      <c r="H46" s="511"/>
      <c r="K46" s="490"/>
    </row>
    <row r="47" spans="1:27" ht="13.5" customHeight="1">
      <c r="A47" s="512" t="s">
        <v>419</v>
      </c>
      <c r="B47" s="471" t="s">
        <v>420</v>
      </c>
      <c r="C47" s="472">
        <v>0.05</v>
      </c>
      <c r="D47" s="522">
        <f>+G46</f>
        <v>5462.25</v>
      </c>
      <c r="E47" s="523">
        <f t="shared" si="1"/>
        <v>0</v>
      </c>
      <c r="F47" s="523">
        <f>+D47*C47</f>
        <v>273.11250000000001</v>
      </c>
      <c r="G47" s="535">
        <f>+D47*C47</f>
        <v>273.11250000000001</v>
      </c>
      <c r="H47" s="511"/>
      <c r="K47" s="490"/>
    </row>
    <row r="48" spans="1:27" ht="13.5" customHeight="1" thickBot="1">
      <c r="A48" s="529"/>
      <c r="B48" s="471"/>
      <c r="C48" s="472"/>
      <c r="D48" s="522"/>
      <c r="E48" s="523"/>
      <c r="F48" s="527"/>
      <c r="G48" s="389"/>
      <c r="H48" s="511"/>
      <c r="K48" s="490"/>
    </row>
    <row r="49" spans="1:12" ht="13.5" customHeight="1" thickTop="1" thickBot="1">
      <c r="A49" s="379" t="s">
        <v>441</v>
      </c>
      <c r="B49" s="903"/>
      <c r="C49" s="904"/>
      <c r="D49" s="526"/>
      <c r="E49" s="527"/>
      <c r="F49" s="905">
        <f>+SUM(F42:F47)</f>
        <v>40102.964045718029</v>
      </c>
      <c r="G49" s="381">
        <f>+SUM(G42:G47)</f>
        <v>46575.465073582222</v>
      </c>
      <c r="H49" s="511"/>
      <c r="K49" s="490"/>
    </row>
    <row r="50" spans="1:12" ht="14.25" thickTop="1" thickBot="1">
      <c r="B50" s="383"/>
      <c r="C50" s="384"/>
      <c r="D50" s="385"/>
      <c r="E50" s="386"/>
      <c r="F50" s="469"/>
      <c r="G50" s="469"/>
      <c r="H50" s="511"/>
    </row>
    <row r="51" spans="1:12" ht="30" customHeight="1" thickTop="1">
      <c r="A51" s="1302" t="s">
        <v>443</v>
      </c>
      <c r="B51" s="1303"/>
      <c r="C51" s="1303"/>
      <c r="D51" s="1303"/>
      <c r="E51" s="1303"/>
      <c r="F51" s="1303"/>
      <c r="G51" s="1304"/>
      <c r="H51" s="511"/>
      <c r="I51" s="490"/>
      <c r="K51" s="490"/>
      <c r="L51" s="490"/>
    </row>
    <row r="52" spans="1:12" ht="12" customHeight="1">
      <c r="A52" s="512" t="s">
        <v>444</v>
      </c>
      <c r="B52" s="513" t="s">
        <v>440</v>
      </c>
      <c r="C52" s="518">
        <v>1.05</v>
      </c>
      <c r="D52" s="500">
        <f>'Actualizacion de precios'!C32</f>
        <v>22586</v>
      </c>
      <c r="E52" s="500">
        <f t="shared" ref="E52:E57" si="2">G52-F52</f>
        <v>3786.4764705882299</v>
      </c>
      <c r="F52" s="500">
        <f>C52*(D52/1.19)</f>
        <v>19928.823529411769</v>
      </c>
      <c r="G52" s="531">
        <f>+C52*(D52)</f>
        <v>23715.3</v>
      </c>
      <c r="H52" s="511"/>
      <c r="I52" s="511">
        <f>'ppto sistema septico'!V18</f>
        <v>448</v>
      </c>
      <c r="J52" s="540">
        <f>$I$52*(F52+F53+F55)</f>
        <v>11633137.284276709</v>
      </c>
      <c r="K52" s="540">
        <f>$I$52*(G52+G53+G55)</f>
        <v>13843433.368289281</v>
      </c>
      <c r="L52" s="490">
        <f>K52-J52</f>
        <v>2210296.0840125717</v>
      </c>
    </row>
    <row r="53" spans="1:12" ht="12.75" customHeight="1">
      <c r="A53" s="512" t="s">
        <v>434</v>
      </c>
      <c r="B53" s="513" t="s">
        <v>445</v>
      </c>
      <c r="C53" s="518">
        <v>1</v>
      </c>
      <c r="D53" s="500">
        <f>'Actualizacion de precios'!C6</f>
        <v>5533.1209113599998</v>
      </c>
      <c r="E53" s="500">
        <f t="shared" si="2"/>
        <v>883.43947324235251</v>
      </c>
      <c r="F53" s="500">
        <f>C53*(D53/1.19)</f>
        <v>4649.6814381176473</v>
      </c>
      <c r="G53" s="531">
        <f>+C53*(D53)</f>
        <v>5533.1209113599998</v>
      </c>
      <c r="H53" s="511"/>
      <c r="I53" s="511"/>
      <c r="J53" s="540"/>
      <c r="K53" s="540"/>
      <c r="L53" s="490"/>
    </row>
    <row r="54" spans="1:12" ht="15" customHeight="1">
      <c r="A54" s="512" t="s">
        <v>435</v>
      </c>
      <c r="B54" s="513" t="s">
        <v>436</v>
      </c>
      <c r="C54" s="541">
        <v>1E-3</v>
      </c>
      <c r="D54" s="597">
        <f>'Salarios y transporte'!C28</f>
        <v>301806.66222222219</v>
      </c>
      <c r="E54" s="500">
        <f t="shared" si="2"/>
        <v>0</v>
      </c>
      <c r="F54" s="500">
        <f>+D54*C54</f>
        <v>301.8066622222222</v>
      </c>
      <c r="G54" s="531">
        <f>+D54*C54</f>
        <v>301.8066622222222</v>
      </c>
      <c r="H54" s="511"/>
      <c r="K54" s="490"/>
    </row>
    <row r="55" spans="1:12" ht="15" customHeight="1">
      <c r="A55" s="529" t="s">
        <v>437</v>
      </c>
      <c r="B55" s="471" t="s">
        <v>438</v>
      </c>
      <c r="C55" s="530">
        <v>0.15</v>
      </c>
      <c r="D55" s="500">
        <f>'Actualizacion de precios'!C19</f>
        <v>11014</v>
      </c>
      <c r="E55" s="500">
        <f t="shared" si="2"/>
        <v>263.78067226890744</v>
      </c>
      <c r="F55" s="542">
        <f>+C55*D55/1.19</f>
        <v>1388.3193277310925</v>
      </c>
      <c r="G55" s="531">
        <f>+C55*D55</f>
        <v>1652.1</v>
      </c>
      <c r="H55" s="511"/>
      <c r="K55" s="490"/>
    </row>
    <row r="56" spans="1:12" ht="15" customHeight="1">
      <c r="A56" s="512" t="s">
        <v>446</v>
      </c>
      <c r="B56" s="513" t="s">
        <v>440</v>
      </c>
      <c r="C56" s="514">
        <v>40</v>
      </c>
      <c r="D56" s="515">
        <f>'Salarios y transporte'!C5</f>
        <v>218490</v>
      </c>
      <c r="E56" s="515">
        <f t="shared" si="2"/>
        <v>0</v>
      </c>
      <c r="F56" s="515">
        <f>+D56/C56</f>
        <v>5462.25</v>
      </c>
      <c r="G56" s="533">
        <f>+D56/C56</f>
        <v>5462.25</v>
      </c>
      <c r="H56" s="511"/>
      <c r="K56" s="490"/>
    </row>
    <row r="57" spans="1:12" ht="15.75" customHeight="1">
      <c r="A57" s="512" t="s">
        <v>419</v>
      </c>
      <c r="B57" s="513" t="s">
        <v>420</v>
      </c>
      <c r="C57" s="518">
        <v>0.05</v>
      </c>
      <c r="D57" s="500">
        <f>+G56</f>
        <v>5462.25</v>
      </c>
      <c r="E57" s="500">
        <f t="shared" si="2"/>
        <v>0</v>
      </c>
      <c r="F57" s="500">
        <f>+D57*C57</f>
        <v>273.11250000000001</v>
      </c>
      <c r="G57" s="535">
        <f>+D57*C57</f>
        <v>273.11250000000001</v>
      </c>
      <c r="H57" s="511"/>
      <c r="J57" s="490"/>
      <c r="K57" s="391"/>
    </row>
    <row r="58" spans="1:12" ht="16.5" customHeight="1" thickBot="1">
      <c r="A58" s="512"/>
      <c r="B58" s="513"/>
      <c r="C58" s="474"/>
      <c r="D58" s="522"/>
      <c r="E58" s="523"/>
      <c r="F58" s="522"/>
      <c r="G58" s="389"/>
      <c r="H58" s="511"/>
    </row>
    <row r="59" spans="1:12" ht="13.5" customHeight="1" thickTop="1" thickBot="1">
      <c r="A59" s="379" t="s">
        <v>447</v>
      </c>
      <c r="B59" s="524"/>
      <c r="C59" s="525"/>
      <c r="D59" s="526"/>
      <c r="E59" s="527"/>
      <c r="F59" s="380">
        <f>SUM(F52:F58)</f>
        <v>32003.993457482731</v>
      </c>
      <c r="G59" s="506">
        <f>SUM(G52:G58)</f>
        <v>36937.690073582227</v>
      </c>
      <c r="H59" s="511"/>
      <c r="I59" s="490"/>
      <c r="K59" s="490"/>
    </row>
    <row r="60" spans="1:12" ht="14.25" thickTop="1" thickBot="1">
      <c r="A60" s="382"/>
      <c r="B60" s="383"/>
      <c r="C60" s="384"/>
      <c r="D60" s="385"/>
      <c r="E60" s="386"/>
      <c r="F60" s="385"/>
      <c r="G60" s="386"/>
      <c r="H60" s="511"/>
    </row>
    <row r="61" spans="1:12" ht="24" customHeight="1" thickTop="1">
      <c r="A61" s="1302" t="s">
        <v>448</v>
      </c>
      <c r="B61" s="1303"/>
      <c r="C61" s="1303"/>
      <c r="D61" s="1303"/>
      <c r="E61" s="1303"/>
      <c r="F61" s="1303"/>
      <c r="G61" s="1304"/>
      <c r="H61" s="511"/>
    </row>
    <row r="62" spans="1:12">
      <c r="A62" s="512" t="s">
        <v>433</v>
      </c>
      <c r="B62" s="513" t="s">
        <v>440</v>
      </c>
      <c r="C62" s="518">
        <v>1.05</v>
      </c>
      <c r="D62" s="500">
        <f>'Actualizacion de precios'!C31</f>
        <v>15121.5</v>
      </c>
      <c r="E62" s="500">
        <f t="shared" ref="E62:E67" si="3">G62-F62</f>
        <v>2535.0750000000007</v>
      </c>
      <c r="F62" s="500">
        <f>C62*(D62/1.19)</f>
        <v>13342.5</v>
      </c>
      <c r="G62" s="531">
        <f>+C62*(D62)</f>
        <v>15877.575000000001</v>
      </c>
      <c r="H62" s="511"/>
      <c r="I62" s="511">
        <f>+'ppto sistema septico'!V20</f>
        <v>246</v>
      </c>
      <c r="J62" s="540">
        <f>+I62*(F62+F63+F65)</f>
        <v>4767603.1883987905</v>
      </c>
      <c r="K62" s="490">
        <f>+I62*(G62+G63+G65)</f>
        <v>5673447.7941945605</v>
      </c>
      <c r="L62" s="540">
        <f>+K62-J62</f>
        <v>905844.60579576995</v>
      </c>
    </row>
    <row r="63" spans="1:12">
      <c r="A63" s="512" t="s">
        <v>434</v>
      </c>
      <c r="B63" s="513" t="s">
        <v>445</v>
      </c>
      <c r="C63" s="518">
        <v>1</v>
      </c>
      <c r="D63" s="500">
        <f>'Actualizacion de precios'!C6</f>
        <v>5533.1209113599998</v>
      </c>
      <c r="E63" s="500">
        <f t="shared" si="3"/>
        <v>883.43947324235251</v>
      </c>
      <c r="F63" s="500">
        <f>C63*(D63/1.19)</f>
        <v>4649.6814381176473</v>
      </c>
      <c r="G63" s="531">
        <f>+C63*(D63)</f>
        <v>5533.1209113599998</v>
      </c>
      <c r="H63" s="511"/>
    </row>
    <row r="64" spans="1:12">
      <c r="A64" s="512" t="s">
        <v>435</v>
      </c>
      <c r="B64" s="513" t="s">
        <v>436</v>
      </c>
      <c r="C64" s="541">
        <v>1E-3</v>
      </c>
      <c r="D64" s="597">
        <f>'Salarios y transporte'!C28</f>
        <v>301806.66222222219</v>
      </c>
      <c r="E64" s="500">
        <f t="shared" si="3"/>
        <v>0</v>
      </c>
      <c r="F64" s="500">
        <f>+D64*C64</f>
        <v>301.8066622222222</v>
      </c>
      <c r="G64" s="531">
        <f>+D64*C64</f>
        <v>301.8066622222222</v>
      </c>
      <c r="H64" s="511"/>
    </row>
    <row r="65" spans="1:12">
      <c r="A65" s="529" t="s">
        <v>437</v>
      </c>
      <c r="B65" s="471" t="s">
        <v>438</v>
      </c>
      <c r="C65" s="530">
        <v>0.15</v>
      </c>
      <c r="D65" s="500">
        <f>'Actualizacion de precios'!C19</f>
        <v>11014</v>
      </c>
      <c r="E65" s="500">
        <f t="shared" si="3"/>
        <v>263.78067226890744</v>
      </c>
      <c r="F65" s="542">
        <f>+C65*D65/1.19</f>
        <v>1388.3193277310925</v>
      </c>
      <c r="G65" s="531">
        <f>+C65*D65</f>
        <v>1652.1</v>
      </c>
      <c r="H65" s="511"/>
    </row>
    <row r="66" spans="1:12">
      <c r="A66" s="512" t="s">
        <v>446</v>
      </c>
      <c r="B66" s="513" t="s">
        <v>440</v>
      </c>
      <c r="C66" s="514">
        <v>50</v>
      </c>
      <c r="D66" s="515">
        <f>'Salarios y transporte'!C5</f>
        <v>218490</v>
      </c>
      <c r="E66" s="515">
        <f t="shared" si="3"/>
        <v>0</v>
      </c>
      <c r="F66" s="515">
        <f>+D66/C66</f>
        <v>4369.8</v>
      </c>
      <c r="G66" s="533">
        <f>+D66/C66</f>
        <v>4369.8</v>
      </c>
      <c r="H66" s="511"/>
    </row>
    <row r="67" spans="1:12">
      <c r="A67" s="512" t="s">
        <v>419</v>
      </c>
      <c r="B67" s="513" t="s">
        <v>420</v>
      </c>
      <c r="C67" s="518">
        <v>0.05</v>
      </c>
      <c r="D67" s="500">
        <f>+G66</f>
        <v>4369.8</v>
      </c>
      <c r="E67" s="500">
        <f t="shared" si="3"/>
        <v>0</v>
      </c>
      <c r="F67" s="500">
        <f>+D67*C67</f>
        <v>218.49</v>
      </c>
      <c r="G67" s="535">
        <f>+D67*C67</f>
        <v>218.49</v>
      </c>
      <c r="H67" s="511"/>
    </row>
    <row r="68" spans="1:12" ht="13.5" thickBot="1">
      <c r="A68" s="512"/>
      <c r="B68" s="513"/>
      <c r="C68" s="474"/>
      <c r="D68" s="522"/>
      <c r="E68" s="523"/>
      <c r="F68" s="522"/>
      <c r="G68" s="389"/>
      <c r="H68" s="511"/>
    </row>
    <row r="69" spans="1:12" ht="14.25" thickTop="1" thickBot="1">
      <c r="A69" s="379" t="s">
        <v>447</v>
      </c>
      <c r="B69" s="524"/>
      <c r="C69" s="525"/>
      <c r="D69" s="526"/>
      <c r="E69" s="527"/>
      <c r="F69" s="380">
        <f>SUM(F62:F68)</f>
        <v>24270.597428070963</v>
      </c>
      <c r="G69" s="506">
        <f>SUM(G62:G68)</f>
        <v>27952.892573582223</v>
      </c>
      <c r="H69" s="511"/>
    </row>
    <row r="70" spans="1:12" ht="14.25" thickTop="1" thickBot="1">
      <c r="A70" s="382"/>
      <c r="B70" s="383"/>
      <c r="C70" s="384"/>
      <c r="D70" s="385"/>
      <c r="E70" s="386"/>
      <c r="F70" s="385"/>
      <c r="G70" s="386"/>
      <c r="H70" s="511"/>
    </row>
    <row r="71" spans="1:12" ht="30" customHeight="1" thickTop="1">
      <c r="A71" s="1305" t="s">
        <v>449</v>
      </c>
      <c r="B71" s="1306"/>
      <c r="C71" s="1306"/>
      <c r="D71" s="1306"/>
      <c r="E71" s="1306"/>
      <c r="F71" s="1306"/>
      <c r="G71" s="1307"/>
      <c r="H71" s="511"/>
    </row>
    <row r="72" spans="1:12" ht="13.5" customHeight="1">
      <c r="A72" s="512" t="s">
        <v>450</v>
      </c>
      <c r="B72" s="513" t="s">
        <v>100</v>
      </c>
      <c r="C72" s="518">
        <v>1</v>
      </c>
      <c r="D72" s="500">
        <f>'Actualizacion de precios'!C29</f>
        <v>13459</v>
      </c>
      <c r="E72" s="519">
        <f>G72-F72</f>
        <v>2148.9159663865539</v>
      </c>
      <c r="F72" s="519">
        <f>C72*(D72/1.19)</f>
        <v>11310.084033613446</v>
      </c>
      <c r="G72" s="531">
        <f>+C72*(D72)</f>
        <v>13459</v>
      </c>
      <c r="H72" s="511"/>
      <c r="I72" s="511">
        <f>'ppto sistema septico'!V21</f>
        <v>29</v>
      </c>
      <c r="J72" s="490">
        <f>(F72+F73+F74+F75)*$I$72</f>
        <v>978347.89915966394</v>
      </c>
      <c r="K72" s="490">
        <f>(G72+G73+G74+G75)*$I$72</f>
        <v>1164234</v>
      </c>
      <c r="L72" s="490">
        <f>K72-J72</f>
        <v>185886.10084033606</v>
      </c>
    </row>
    <row r="73" spans="1:12" ht="13.5" customHeight="1">
      <c r="A73" s="512" t="s">
        <v>451</v>
      </c>
      <c r="B73" s="513" t="s">
        <v>100</v>
      </c>
      <c r="C73" s="518">
        <v>1</v>
      </c>
      <c r="D73" s="500">
        <f>'Actualizacion de precios'!C24</f>
        <v>10371</v>
      </c>
      <c r="E73" s="519">
        <f>G73-F73</f>
        <v>1655.8739495798309</v>
      </c>
      <c r="F73" s="519">
        <f>C73*(D73/1.19)</f>
        <v>8715.1260504201691</v>
      </c>
      <c r="G73" s="531">
        <f>+C73*(D73)</f>
        <v>10371</v>
      </c>
      <c r="H73" s="511"/>
      <c r="K73" s="490"/>
    </row>
    <row r="74" spans="1:12" ht="13.5" customHeight="1">
      <c r="A74" s="543" t="s">
        <v>452</v>
      </c>
      <c r="B74" s="544" t="s">
        <v>100</v>
      </c>
      <c r="C74" s="545">
        <v>1</v>
      </c>
      <c r="D74" s="500">
        <f>'Actualizacion de precios'!C27</f>
        <v>10809</v>
      </c>
      <c r="E74" s="519">
        <f>G74-F74</f>
        <v>1725.8067226890744</v>
      </c>
      <c r="F74" s="519">
        <f>C74*(D74/1.19)</f>
        <v>9083.1932773109256</v>
      </c>
      <c r="G74" s="531">
        <f>+C74*(D74)</f>
        <v>10809</v>
      </c>
      <c r="H74" s="546"/>
      <c r="K74" s="490"/>
    </row>
    <row r="75" spans="1:12" ht="13.5" customHeight="1">
      <c r="A75" s="529" t="s">
        <v>437</v>
      </c>
      <c r="B75" s="471" t="s">
        <v>438</v>
      </c>
      <c r="C75" s="530">
        <v>0.5</v>
      </c>
      <c r="D75" s="500">
        <f>'Actualizacion de precios'!C19</f>
        <v>11014</v>
      </c>
      <c r="E75" s="519">
        <f>G75-F75</f>
        <v>879.2689075630251</v>
      </c>
      <c r="F75" s="519">
        <f>+C75*D75/1.19</f>
        <v>4627.7310924369749</v>
      </c>
      <c r="G75" s="535">
        <f>+D75*C75</f>
        <v>5507</v>
      </c>
      <c r="H75" s="511"/>
      <c r="K75" s="490"/>
    </row>
    <row r="76" spans="1:12" ht="13.5" customHeight="1">
      <c r="A76" s="512" t="s">
        <v>435</v>
      </c>
      <c r="B76" s="513" t="s">
        <v>436</v>
      </c>
      <c r="C76" s="474">
        <v>80</v>
      </c>
      <c r="D76" s="597">
        <f>'Salarios y transporte'!C28</f>
        <v>301806.66222222219</v>
      </c>
      <c r="E76" s="519">
        <f>G76-F76</f>
        <v>0</v>
      </c>
      <c r="F76" s="519">
        <f>+D76/C76</f>
        <v>3772.5832777777773</v>
      </c>
      <c r="G76" s="531">
        <f>+D76/C76</f>
        <v>3772.5832777777773</v>
      </c>
      <c r="H76" s="511"/>
      <c r="K76" s="490"/>
    </row>
    <row r="77" spans="1:12" ht="13.5" customHeight="1">
      <c r="A77" s="512" t="s">
        <v>453</v>
      </c>
      <c r="B77" s="513" t="s">
        <v>100</v>
      </c>
      <c r="C77" s="547">
        <v>20</v>
      </c>
      <c r="D77" s="515">
        <f>+'Salarios y transporte'!C2</f>
        <v>143542</v>
      </c>
      <c r="E77" s="516"/>
      <c r="F77" s="515">
        <f>+D77/C77</f>
        <v>7177.1</v>
      </c>
      <c r="G77" s="533">
        <f>+D77/C77</f>
        <v>7177.1</v>
      </c>
      <c r="H77" s="511"/>
      <c r="K77" s="391"/>
    </row>
    <row r="78" spans="1:12" ht="13.5" customHeight="1">
      <c r="A78" s="512" t="s">
        <v>419</v>
      </c>
      <c r="B78" s="513" t="s">
        <v>420</v>
      </c>
      <c r="C78" s="518">
        <v>0.05</v>
      </c>
      <c r="D78" s="519">
        <f>+G77</f>
        <v>7177.1</v>
      </c>
      <c r="E78" s="520"/>
      <c r="F78" s="519">
        <f>+D78*C78</f>
        <v>358.85500000000002</v>
      </c>
      <c r="G78" s="535">
        <f>+D78*C78</f>
        <v>358.85500000000002</v>
      </c>
      <c r="H78" s="511"/>
    </row>
    <row r="79" spans="1:12" ht="8.1" customHeight="1" thickBot="1">
      <c r="A79" s="512"/>
      <c r="B79" s="513"/>
      <c r="C79" s="474"/>
      <c r="D79" s="522"/>
      <c r="E79" s="523"/>
      <c r="F79" s="522"/>
      <c r="G79" s="389"/>
      <c r="H79" s="511"/>
    </row>
    <row r="80" spans="1:12" ht="13.5" customHeight="1" thickTop="1" thickBot="1">
      <c r="A80" s="379" t="s">
        <v>454</v>
      </c>
      <c r="B80" s="524"/>
      <c r="C80" s="525"/>
      <c r="D80" s="526"/>
      <c r="E80" s="527"/>
      <c r="F80" s="380">
        <f>SUM(F72:F79)</f>
        <v>45044.672731559294</v>
      </c>
      <c r="G80" s="381">
        <f>SUM(G72:G78)</f>
        <v>51454.538277777778</v>
      </c>
      <c r="H80" s="511"/>
    </row>
    <row r="81" spans="1:12" ht="13.5" customHeight="1" thickTop="1" thickBot="1">
      <c r="A81" s="382"/>
      <c r="B81" s="383"/>
      <c r="C81" s="384"/>
      <c r="D81" s="385"/>
      <c r="E81" s="386"/>
      <c r="F81" s="385"/>
      <c r="G81" s="386"/>
      <c r="H81" s="511"/>
    </row>
    <row r="82" spans="1:12" ht="30" customHeight="1" thickTop="1">
      <c r="A82" s="1308" t="s">
        <v>455</v>
      </c>
      <c r="B82" s="1309"/>
      <c r="C82" s="1309"/>
      <c r="D82" s="1309"/>
      <c r="E82" s="1309"/>
      <c r="F82" s="1309"/>
      <c r="G82" s="1310"/>
      <c r="H82" s="511"/>
    </row>
    <row r="83" spans="1:12" ht="13.5" customHeight="1">
      <c r="A83" s="512" t="s">
        <v>456</v>
      </c>
      <c r="B83" s="513" t="s">
        <v>100</v>
      </c>
      <c r="C83" s="518">
        <v>1</v>
      </c>
      <c r="D83" s="500">
        <f>'Actualizacion de precios'!C30</f>
        <v>29417</v>
      </c>
      <c r="E83" s="519">
        <f>G83-F83</f>
        <v>4696.8319327731078</v>
      </c>
      <c r="F83" s="519">
        <f>C83*(D83/1.19)</f>
        <v>24720.168067226892</v>
      </c>
      <c r="G83" s="531">
        <f>+C83*(D83)</f>
        <v>29417</v>
      </c>
      <c r="H83" s="511"/>
      <c r="I83" s="511">
        <f>+'ppto sistema septico'!V23</f>
        <v>1</v>
      </c>
      <c r="J83" s="490">
        <f>(F83+F84+F85+F86)*$I$83</f>
        <v>63830.672268907569</v>
      </c>
      <c r="K83" s="490">
        <f>(G83+G84+G85+G86)*$I$83</f>
        <v>75958.5</v>
      </c>
      <c r="L83" s="490">
        <f>K83-J83</f>
        <v>12127.827731092431</v>
      </c>
    </row>
    <row r="84" spans="1:12" ht="13.5" customHeight="1">
      <c r="A84" s="512" t="s">
        <v>457</v>
      </c>
      <c r="B84" s="513" t="s">
        <v>100</v>
      </c>
      <c r="C84" s="518">
        <v>1</v>
      </c>
      <c r="D84" s="500">
        <f>'Actualizacion de precios'!C25</f>
        <v>18265</v>
      </c>
      <c r="E84" s="519">
        <f>G84-F84</f>
        <v>2916.2605042016803</v>
      </c>
      <c r="F84" s="519">
        <f>C84*(D84/1.19)</f>
        <v>15348.73949579832</v>
      </c>
      <c r="G84" s="531">
        <f>+C84*(D84)</f>
        <v>18265</v>
      </c>
      <c r="H84" s="511"/>
      <c r="K84" s="490"/>
    </row>
    <row r="85" spans="1:12" ht="13.5" customHeight="1">
      <c r="A85" s="543" t="s">
        <v>458</v>
      </c>
      <c r="B85" s="544" t="s">
        <v>100</v>
      </c>
      <c r="C85" s="545">
        <v>1</v>
      </c>
      <c r="D85" s="500">
        <f>'Actualizacion de precios'!C28</f>
        <v>20016</v>
      </c>
      <c r="E85" s="519">
        <f>G85-F85</f>
        <v>3195.8319327731078</v>
      </c>
      <c r="F85" s="519">
        <f>C85*(D85/1.19)</f>
        <v>16820.168067226892</v>
      </c>
      <c r="G85" s="531">
        <f>+C85*(D85)</f>
        <v>20016</v>
      </c>
      <c r="H85" s="546"/>
      <c r="K85" s="490"/>
    </row>
    <row r="86" spans="1:12" ht="13.5" customHeight="1">
      <c r="A86" s="529" t="s">
        <v>437</v>
      </c>
      <c r="B86" s="471" t="s">
        <v>438</v>
      </c>
      <c r="C86" s="530">
        <v>0.75</v>
      </c>
      <c r="D86" s="500">
        <f>'Actualizacion de precios'!C19</f>
        <v>11014</v>
      </c>
      <c r="E86" s="519">
        <f>G86-F86</f>
        <v>1318.9033613445372</v>
      </c>
      <c r="F86" s="519">
        <f>+C86*D86/1.19</f>
        <v>6941.5966386554628</v>
      </c>
      <c r="G86" s="535">
        <f>+D86*C86</f>
        <v>8260.5</v>
      </c>
      <c r="H86" s="511"/>
      <c r="K86" s="490"/>
    </row>
    <row r="87" spans="1:12" ht="13.5" customHeight="1">
      <c r="A87" s="512" t="s">
        <v>435</v>
      </c>
      <c r="B87" s="513" t="s">
        <v>436</v>
      </c>
      <c r="C87" s="474">
        <v>60</v>
      </c>
      <c r="D87" s="597">
        <f>'Salarios y transporte'!C28</f>
        <v>301806.66222222219</v>
      </c>
      <c r="E87" s="519">
        <f>G87-F87</f>
        <v>0</v>
      </c>
      <c r="F87" s="519">
        <f>+D87/C87</f>
        <v>5030.1110370370361</v>
      </c>
      <c r="G87" s="531">
        <f>+D87/C87</f>
        <v>5030.1110370370361</v>
      </c>
      <c r="H87" s="511"/>
      <c r="K87" s="490"/>
    </row>
    <row r="88" spans="1:12" ht="13.5" customHeight="1">
      <c r="A88" s="512" t="s">
        <v>453</v>
      </c>
      <c r="B88" s="513" t="s">
        <v>440</v>
      </c>
      <c r="C88" s="547">
        <v>15</v>
      </c>
      <c r="D88" s="515">
        <f>+'Salarios y transporte'!C2</f>
        <v>143542</v>
      </c>
      <c r="E88" s="516"/>
      <c r="F88" s="515">
        <f>+D88/C88</f>
        <v>9569.4666666666672</v>
      </c>
      <c r="G88" s="533">
        <f>+D88/C88</f>
        <v>9569.4666666666672</v>
      </c>
      <c r="H88" s="511"/>
      <c r="K88" s="391"/>
    </row>
    <row r="89" spans="1:12" ht="13.5" customHeight="1">
      <c r="A89" s="512" t="s">
        <v>419</v>
      </c>
      <c r="B89" s="513" t="s">
        <v>420</v>
      </c>
      <c r="C89" s="518">
        <v>0.05</v>
      </c>
      <c r="D89" s="519">
        <f>+G88</f>
        <v>9569.4666666666672</v>
      </c>
      <c r="E89" s="520"/>
      <c r="F89" s="519">
        <f>+D89*C89</f>
        <v>478.47333333333336</v>
      </c>
      <c r="G89" s="535">
        <f>+D89*C89</f>
        <v>478.47333333333336</v>
      </c>
      <c r="H89" s="511"/>
    </row>
    <row r="90" spans="1:12" ht="8.1" customHeight="1" thickBot="1">
      <c r="A90" s="512"/>
      <c r="B90" s="513"/>
      <c r="C90" s="474"/>
      <c r="D90" s="522"/>
      <c r="E90" s="523"/>
      <c r="F90" s="522"/>
      <c r="G90" s="389"/>
      <c r="H90" s="511"/>
    </row>
    <row r="91" spans="1:12" ht="13.5" customHeight="1" thickTop="1" thickBot="1">
      <c r="A91" s="379" t="s">
        <v>454</v>
      </c>
      <c r="B91" s="524"/>
      <c r="C91" s="525"/>
      <c r="D91" s="526"/>
      <c r="E91" s="527"/>
      <c r="F91" s="380">
        <f>SUM(F83:F90)</f>
        <v>78908.723305944586</v>
      </c>
      <c r="G91" s="381">
        <f>SUM(G83:G89)</f>
        <v>91036.551037037018</v>
      </c>
      <c r="H91" s="511"/>
    </row>
    <row r="92" spans="1:12" ht="13.5" customHeight="1" thickTop="1" thickBot="1">
      <c r="A92" s="382"/>
      <c r="B92" s="513"/>
      <c r="C92" s="518"/>
      <c r="D92" s="522"/>
      <c r="E92" s="523"/>
      <c r="F92" s="385"/>
      <c r="G92" s="392"/>
      <c r="H92" s="511"/>
    </row>
    <row r="93" spans="1:12" ht="76.5" customHeight="1" thickTop="1">
      <c r="A93" s="1311" t="s">
        <v>459</v>
      </c>
      <c r="B93" s="1312"/>
      <c r="C93" s="1312"/>
      <c r="D93" s="1312"/>
      <c r="E93" s="1312"/>
      <c r="F93" s="1312"/>
      <c r="G93" s="1313"/>
      <c r="H93" s="511"/>
      <c r="I93" s="490"/>
    </row>
    <row r="94" spans="1:12" ht="75" customHeight="1">
      <c r="A94" s="548" t="s">
        <v>460</v>
      </c>
      <c r="B94" s="549" t="s">
        <v>100</v>
      </c>
      <c r="C94" s="550">
        <v>1</v>
      </c>
      <c r="D94" s="751">
        <f>+'VALOR UNITARIO SS Y TG'!C5</f>
        <v>3661143.1935390402</v>
      </c>
      <c r="E94" s="552">
        <f>G94-F94</f>
        <v>584552.27459867019</v>
      </c>
      <c r="F94" s="552">
        <f>C94*(D94/1.19)</f>
        <v>3076590.91894037</v>
      </c>
      <c r="G94" s="553">
        <f>+C94*(D94)</f>
        <v>3661143.1935390402</v>
      </c>
      <c r="H94" s="511"/>
      <c r="I94" s="550">
        <f>'ppto sistema septico'!V24</f>
        <v>29</v>
      </c>
      <c r="J94" s="540">
        <f>I94*(F94+F97+F95)</f>
        <v>89883567.32153964</v>
      </c>
      <c r="K94" s="540">
        <f>I94*(G97+G94+G95)</f>
        <v>106961445.11263217</v>
      </c>
      <c r="L94" s="490">
        <f>K94-J94</f>
        <v>17077877.79109253</v>
      </c>
    </row>
    <row r="95" spans="1:12">
      <c r="A95" s="529" t="s">
        <v>433</v>
      </c>
      <c r="B95" s="471" t="s">
        <v>97</v>
      </c>
      <c r="C95" s="518">
        <v>1</v>
      </c>
      <c r="D95" s="588">
        <f>'Actualizacion de precios'!C31</f>
        <v>15121.5</v>
      </c>
      <c r="E95" s="519">
        <f>G95-F95</f>
        <v>2414.3571428571431</v>
      </c>
      <c r="F95" s="519">
        <f>C95*(D95/1.19)</f>
        <v>12707.142857142857</v>
      </c>
      <c r="G95" s="554">
        <f>+C95*(D95)</f>
        <v>15121.5</v>
      </c>
      <c r="H95" s="511"/>
    </row>
    <row r="96" spans="1:12">
      <c r="A96" s="512" t="s">
        <v>461</v>
      </c>
      <c r="B96" s="513" t="s">
        <v>100</v>
      </c>
      <c r="C96" s="518">
        <v>2</v>
      </c>
      <c r="D96" s="500">
        <v>0</v>
      </c>
      <c r="E96" s="519">
        <f>G96-F96</f>
        <v>0</v>
      </c>
      <c r="F96" s="519">
        <f>+C96*D96/1.19</f>
        <v>0</v>
      </c>
      <c r="G96" s="554">
        <f>+C96*(D96)</f>
        <v>0</v>
      </c>
      <c r="H96" s="511"/>
      <c r="K96" s="490"/>
    </row>
    <row r="97" spans="1:12">
      <c r="A97" s="512" t="s">
        <v>462</v>
      </c>
      <c r="B97" s="513" t="s">
        <v>100</v>
      </c>
      <c r="C97" s="518">
        <v>1</v>
      </c>
      <c r="D97" s="500">
        <f>'Actualizacion de precios'!C12</f>
        <v>12061</v>
      </c>
      <c r="E97" s="519">
        <f>G97-F97</f>
        <v>1925.7058823529405</v>
      </c>
      <c r="F97" s="519">
        <f>+C97*D97/1.19</f>
        <v>10135.294117647059</v>
      </c>
      <c r="G97" s="554">
        <f>+C97*(D97)</f>
        <v>12061</v>
      </c>
      <c r="H97" s="511"/>
      <c r="K97" s="490"/>
    </row>
    <row r="98" spans="1:12">
      <c r="A98" s="529" t="s">
        <v>463</v>
      </c>
      <c r="B98" s="471" t="s">
        <v>100</v>
      </c>
      <c r="C98" s="472"/>
      <c r="D98" s="500">
        <v>0</v>
      </c>
      <c r="E98" s="469"/>
      <c r="F98" s="519">
        <f>+C98*D98/1.19</f>
        <v>0</v>
      </c>
      <c r="G98" s="554">
        <f>+C98*(D98)</f>
        <v>0</v>
      </c>
      <c r="K98" s="490"/>
    </row>
    <row r="99" spans="1:12" ht="12.75" customHeight="1">
      <c r="A99" s="529" t="s">
        <v>464</v>
      </c>
      <c r="B99" s="471" t="s">
        <v>100</v>
      </c>
      <c r="C99" s="518">
        <v>1</v>
      </c>
      <c r="D99" s="597">
        <f>'Salarios y transporte'!C26</f>
        <v>266674.81773399014</v>
      </c>
      <c r="E99" s="520"/>
      <c r="F99" s="519">
        <f>+D99/C99</f>
        <v>266674.81773399014</v>
      </c>
      <c r="G99" s="554">
        <f>+D99/C99</f>
        <v>266674.81773399014</v>
      </c>
      <c r="H99" s="511"/>
      <c r="K99" s="490"/>
    </row>
    <row r="100" spans="1:12" ht="12.75" customHeight="1">
      <c r="A100" s="393" t="s">
        <v>465</v>
      </c>
      <c r="B100" s="471"/>
      <c r="C100" s="518"/>
      <c r="D100" s="519"/>
      <c r="E100" s="520"/>
      <c r="F100" s="394">
        <f>SUM(F94:F99)</f>
        <v>3366108.1736491499</v>
      </c>
      <c r="G100" s="395">
        <f>SUM(G94:G99)</f>
        <v>3955000.5112730302</v>
      </c>
      <c r="H100" s="511"/>
      <c r="K100" s="490"/>
    </row>
    <row r="101" spans="1:12" ht="12.75" customHeight="1">
      <c r="A101" s="529" t="s">
        <v>466</v>
      </c>
      <c r="B101" s="471" t="s">
        <v>467</v>
      </c>
      <c r="C101" s="514">
        <v>0.6</v>
      </c>
      <c r="D101" s="515">
        <f>'Salarios y transporte'!C6</f>
        <v>293438</v>
      </c>
      <c r="E101" s="516"/>
      <c r="F101" s="515">
        <f>+D101/C101</f>
        <v>489063.33333333337</v>
      </c>
      <c r="G101" s="517">
        <f>+D101/C101</f>
        <v>489063.33333333337</v>
      </c>
      <c r="H101" s="511"/>
      <c r="I101" s="490"/>
      <c r="K101" s="391"/>
    </row>
    <row r="102" spans="1:12" ht="12.75" customHeight="1">
      <c r="A102" s="512" t="s">
        <v>419</v>
      </c>
      <c r="B102" s="471" t="s">
        <v>420</v>
      </c>
      <c r="C102" s="472">
        <v>0.05</v>
      </c>
      <c r="D102" s="519">
        <f>+G101</f>
        <v>489063.33333333337</v>
      </c>
      <c r="E102" s="520"/>
      <c r="F102" s="519">
        <f>+D102*C102</f>
        <v>24453.166666666672</v>
      </c>
      <c r="G102" s="521">
        <f>+D102*C102</f>
        <v>24453.166666666672</v>
      </c>
      <c r="H102" s="511"/>
    </row>
    <row r="103" spans="1:12" ht="18" customHeight="1" thickBot="1">
      <c r="A103" s="396" t="s">
        <v>468</v>
      </c>
      <c r="B103" s="471"/>
      <c r="C103" s="472"/>
      <c r="D103" s="522"/>
      <c r="E103" s="523"/>
      <c r="F103" s="522">
        <f>SUM(F101:F102)</f>
        <v>513516.50000000006</v>
      </c>
      <c r="G103" s="522">
        <f>SUM(G101:G102)</f>
        <v>513516.50000000006</v>
      </c>
      <c r="H103" s="397"/>
      <c r="I103" s="470"/>
    </row>
    <row r="104" spans="1:12" ht="13.5" customHeight="1" thickTop="1" thickBot="1">
      <c r="A104" s="398" t="s">
        <v>454</v>
      </c>
      <c r="B104" s="524"/>
      <c r="C104" s="525"/>
      <c r="D104" s="526"/>
      <c r="E104" s="527"/>
      <c r="F104" s="380">
        <f>F100+F101+F102</f>
        <v>3879624.6736491499</v>
      </c>
      <c r="G104" s="381">
        <f>G100+G101+G102</f>
        <v>4468517.0112730302</v>
      </c>
      <c r="H104" s="511"/>
      <c r="I104" s="519"/>
    </row>
    <row r="105" spans="1:12" ht="14.25" thickTop="1" thickBot="1">
      <c r="A105" s="382"/>
      <c r="B105" s="383"/>
      <c r="C105" s="384"/>
      <c r="D105" s="385"/>
      <c r="E105" s="386"/>
      <c r="F105" s="385"/>
      <c r="G105" s="386"/>
      <c r="H105" s="511"/>
    </row>
    <row r="106" spans="1:12" ht="36.6" customHeight="1" thickTop="1">
      <c r="A106" s="1299" t="s">
        <v>469</v>
      </c>
      <c r="B106" s="1300"/>
      <c r="C106" s="1300"/>
      <c r="D106" s="1300"/>
      <c r="E106" s="1300"/>
      <c r="F106" s="1300"/>
      <c r="G106" s="1301"/>
      <c r="H106" s="511"/>
    </row>
    <row r="107" spans="1:12" ht="38.25">
      <c r="A107" s="548" t="s">
        <v>470</v>
      </c>
      <c r="B107" s="549" t="s">
        <v>100</v>
      </c>
      <c r="C107" s="550">
        <v>1</v>
      </c>
      <c r="D107" s="551">
        <f>'VALOR UNITARIO SS Y TG'!C19</f>
        <v>682582.85276414151</v>
      </c>
      <c r="E107" s="552">
        <f>G107-F107</f>
        <v>108983.81682788813</v>
      </c>
      <c r="F107" s="552">
        <f>C107*(D107/1.19)</f>
        <v>573599.03593625338</v>
      </c>
      <c r="G107" s="553">
        <f>+C107*(D107)</f>
        <v>682582.85276414151</v>
      </c>
      <c r="H107" s="511"/>
    </row>
    <row r="108" spans="1:12">
      <c r="A108" s="548"/>
      <c r="B108" s="549"/>
      <c r="C108" s="550"/>
      <c r="D108" s="550"/>
      <c r="E108" s="552"/>
      <c r="F108" s="552"/>
      <c r="G108" s="558"/>
      <c r="H108" s="511"/>
    </row>
    <row r="109" spans="1:12">
      <c r="A109" s="512" t="s">
        <v>471</v>
      </c>
      <c r="B109" s="513" t="s">
        <v>100</v>
      </c>
      <c r="C109" s="518">
        <v>2</v>
      </c>
      <c r="D109" s="519">
        <f>'Actualizacion de precios'!C26</f>
        <v>3200</v>
      </c>
      <c r="E109" s="519">
        <f>G109-F109</f>
        <v>1021.8487394957983</v>
      </c>
      <c r="F109" s="519">
        <f>+C109*D109/1.19</f>
        <v>5378.1512605042017</v>
      </c>
      <c r="G109" s="554">
        <f>+C109*(D109)</f>
        <v>6400</v>
      </c>
      <c r="H109" s="511"/>
    </row>
    <row r="110" spans="1:12">
      <c r="A110" s="512" t="s">
        <v>472</v>
      </c>
      <c r="B110" s="513" t="s">
        <v>100</v>
      </c>
      <c r="C110" s="518">
        <v>1</v>
      </c>
      <c r="D110" s="500">
        <f>'Actualizacion de precios'!C38</f>
        <v>4693</v>
      </c>
      <c r="E110" s="519">
        <f>G110-F110</f>
        <v>749.30252100840335</v>
      </c>
      <c r="F110" s="519">
        <f>+C110*D110/1.19</f>
        <v>3943.6974789915967</v>
      </c>
      <c r="G110" s="554">
        <f>+C110*(D110)</f>
        <v>4693</v>
      </c>
      <c r="H110" s="511"/>
    </row>
    <row r="111" spans="1:12">
      <c r="A111" s="529" t="s">
        <v>464</v>
      </c>
      <c r="B111" s="471" t="s">
        <v>100</v>
      </c>
      <c r="C111" s="518">
        <v>1</v>
      </c>
      <c r="D111" s="597">
        <f>'Salarios y transporte'!C28</f>
        <v>301806.66222222219</v>
      </c>
      <c r="E111" s="520"/>
      <c r="F111" s="519">
        <f>+D111/C111</f>
        <v>301806.66222222219</v>
      </c>
      <c r="G111" s="554">
        <f>+D111/C111</f>
        <v>301806.66222222219</v>
      </c>
      <c r="H111" s="511"/>
    </row>
    <row r="112" spans="1:12">
      <c r="A112" s="393" t="s">
        <v>465</v>
      </c>
      <c r="B112" s="471"/>
      <c r="C112" s="518"/>
      <c r="D112" s="519"/>
      <c r="E112" s="520"/>
      <c r="F112" s="394">
        <f>SUM(F107:F111)</f>
        <v>884727.5468979713</v>
      </c>
      <c r="G112" s="395">
        <f>SUM(G107:G111)</f>
        <v>995482.51498636371</v>
      </c>
      <c r="H112" s="511"/>
      <c r="I112" s="550">
        <f>'ppto sistema septico'!V25</f>
        <v>29</v>
      </c>
      <c r="J112" s="540">
        <f>I112*(F107+F109+F110)</f>
        <v>16904705.655596726</v>
      </c>
      <c r="K112" s="540">
        <f>I112*(G107+G109+G110)</f>
        <v>20116599.730160102</v>
      </c>
      <c r="L112" s="490">
        <f>K112-J112</f>
        <v>3211894.0745633766</v>
      </c>
    </row>
    <row r="113" spans="1:12">
      <c r="A113" s="529" t="s">
        <v>453</v>
      </c>
      <c r="B113" s="471" t="s">
        <v>467</v>
      </c>
      <c r="C113" s="514">
        <v>2</v>
      </c>
      <c r="D113" s="515">
        <f>'Salarios y transporte'!C2</f>
        <v>143542</v>
      </c>
      <c r="E113" s="516"/>
      <c r="F113" s="515">
        <f>+D113/C113</f>
        <v>71771</v>
      </c>
      <c r="G113" s="517">
        <f>+D113/C113</f>
        <v>71771</v>
      </c>
      <c r="H113" s="511"/>
    </row>
    <row r="114" spans="1:12">
      <c r="A114" s="512" t="s">
        <v>419</v>
      </c>
      <c r="B114" s="471" t="s">
        <v>420</v>
      </c>
      <c r="C114" s="472">
        <v>0.05</v>
      </c>
      <c r="D114" s="519">
        <f>+G113</f>
        <v>71771</v>
      </c>
      <c r="E114" s="520"/>
      <c r="F114" s="519">
        <f>+D114*C114</f>
        <v>3588.55</v>
      </c>
      <c r="G114" s="521">
        <f>+D114*C114</f>
        <v>3588.55</v>
      </c>
      <c r="H114" s="511"/>
    </row>
    <row r="115" spans="1:12" ht="13.5" thickBot="1">
      <c r="A115" s="396" t="s">
        <v>468</v>
      </c>
      <c r="B115" s="471"/>
      <c r="C115" s="472"/>
      <c r="D115" s="522"/>
      <c r="E115" s="523"/>
      <c r="F115" s="522">
        <f>SUM(F113:F114)</f>
        <v>75359.55</v>
      </c>
      <c r="G115" s="522">
        <f>SUM(G113:G114)</f>
        <v>75359.55</v>
      </c>
      <c r="H115" s="511"/>
    </row>
    <row r="116" spans="1:12" ht="14.25" thickTop="1" thickBot="1">
      <c r="A116" s="398" t="s">
        <v>454</v>
      </c>
      <c r="B116" s="524"/>
      <c r="C116" s="525"/>
      <c r="D116" s="526"/>
      <c r="E116" s="527"/>
      <c r="F116" s="380">
        <f>F112+F113+F114</f>
        <v>960087.09689797135</v>
      </c>
      <c r="G116" s="381">
        <f>G112+G113+G114</f>
        <v>1070842.0649863638</v>
      </c>
      <c r="H116" s="511"/>
    </row>
    <row r="117" spans="1:12" ht="14.25" thickTop="1" thickBot="1">
      <c r="A117" s="393"/>
      <c r="B117" s="513"/>
      <c r="C117" s="518"/>
      <c r="D117" s="522"/>
      <c r="E117" s="523"/>
      <c r="F117" s="376"/>
      <c r="G117" s="407"/>
      <c r="H117" s="511"/>
    </row>
    <row r="118" spans="1:12" ht="81.75" customHeight="1" thickTop="1">
      <c r="A118" s="1308" t="s">
        <v>473</v>
      </c>
      <c r="B118" s="1309"/>
      <c r="C118" s="1309"/>
      <c r="D118" s="1309"/>
      <c r="E118" s="1309"/>
      <c r="F118" s="1309"/>
      <c r="G118" s="1310"/>
      <c r="H118" s="511"/>
    </row>
    <row r="119" spans="1:12" ht="69" customHeight="1">
      <c r="A119" s="548" t="s">
        <v>474</v>
      </c>
      <c r="B119" s="549" t="s">
        <v>100</v>
      </c>
      <c r="C119" s="555">
        <v>1</v>
      </c>
      <c r="D119" s="551">
        <f>+'VALOR UNITARIO SS Y TG'!C6</f>
        <v>4939807.730770627</v>
      </c>
      <c r="E119" s="552">
        <f>G119-F119</f>
        <v>788708.79734993167</v>
      </c>
      <c r="F119" s="552">
        <f>+C119*D119/1.19</f>
        <v>4151098.9334206954</v>
      </c>
      <c r="G119" s="556">
        <f>+C119*D119</f>
        <v>4939807.730770627</v>
      </c>
      <c r="H119" s="511"/>
      <c r="I119" s="557">
        <f>+'ppto sistema septico'!V26</f>
        <v>0</v>
      </c>
      <c r="J119" s="540">
        <f>I119*(F119+F122+F120)</f>
        <v>0</v>
      </c>
      <c r="K119" s="540">
        <f>I119*(G119+G122+G120)</f>
        <v>0</v>
      </c>
      <c r="L119" s="540">
        <f>K119-J119</f>
        <v>0</v>
      </c>
    </row>
    <row r="120" spans="1:12">
      <c r="A120" s="529" t="s">
        <v>433</v>
      </c>
      <c r="B120" s="471" t="s">
        <v>97</v>
      </c>
      <c r="C120" s="518">
        <v>1</v>
      </c>
      <c r="D120" s="588">
        <f>'Actualizacion de precios'!C31</f>
        <v>15121.5</v>
      </c>
      <c r="E120" s="519">
        <f>G120-F120</f>
        <v>2414.3571428571431</v>
      </c>
      <c r="F120" s="519">
        <f>C120*(D120/1.19)</f>
        <v>12707.142857142857</v>
      </c>
      <c r="G120" s="554">
        <f>+C120*(D120)</f>
        <v>15121.5</v>
      </c>
      <c r="H120" s="511"/>
    </row>
    <row r="121" spans="1:12">
      <c r="A121" s="512" t="s">
        <v>461</v>
      </c>
      <c r="B121" s="513" t="s">
        <v>100</v>
      </c>
      <c r="C121" s="530">
        <v>2</v>
      </c>
      <c r="D121" s="500">
        <v>0</v>
      </c>
      <c r="E121" s="519">
        <f t="shared" ref="E121:E127" si="4">G121-F121</f>
        <v>0</v>
      </c>
      <c r="F121" s="519">
        <f>+C121*D121/1.19</f>
        <v>0</v>
      </c>
      <c r="G121" s="531">
        <f>+C121*D121</f>
        <v>0</v>
      </c>
      <c r="H121" s="511"/>
      <c r="K121" s="490"/>
    </row>
    <row r="122" spans="1:12">
      <c r="A122" s="512" t="s">
        <v>462</v>
      </c>
      <c r="B122" s="513" t="s">
        <v>100</v>
      </c>
      <c r="C122" s="530">
        <v>0</v>
      </c>
      <c r="D122" s="500">
        <f>'Actualizacion de precios'!C12</f>
        <v>12061</v>
      </c>
      <c r="E122" s="519">
        <f t="shared" si="4"/>
        <v>0</v>
      </c>
      <c r="F122" s="519">
        <f>+C122*D122/1.19</f>
        <v>0</v>
      </c>
      <c r="G122" s="531">
        <f>+C122*D122</f>
        <v>0</v>
      </c>
      <c r="H122" s="511"/>
      <c r="K122" s="490"/>
    </row>
    <row r="123" spans="1:12">
      <c r="A123" s="529" t="s">
        <v>463</v>
      </c>
      <c r="B123" s="471" t="s">
        <v>100</v>
      </c>
      <c r="C123" s="472"/>
      <c r="D123" s="500">
        <v>0</v>
      </c>
      <c r="E123" s="519">
        <f t="shared" si="4"/>
        <v>0</v>
      </c>
      <c r="F123" s="519">
        <f>+C123*D123/1.19</f>
        <v>0</v>
      </c>
      <c r="G123" s="531">
        <f>+C123*D123</f>
        <v>0</v>
      </c>
      <c r="K123" s="490"/>
    </row>
    <row r="124" spans="1:12" ht="12.75" customHeight="1">
      <c r="A124" s="529" t="s">
        <v>464</v>
      </c>
      <c r="B124" s="471" t="s">
        <v>100</v>
      </c>
      <c r="C124" s="518">
        <v>1</v>
      </c>
      <c r="D124" s="597" t="str">
        <f>'Salarios y transporte'!D26</f>
        <v>0</v>
      </c>
      <c r="E124" s="520"/>
      <c r="F124" s="519">
        <f>+D124/C124</f>
        <v>0</v>
      </c>
      <c r="G124" s="554">
        <f>+D124/C124</f>
        <v>0</v>
      </c>
      <c r="H124" s="511"/>
      <c r="K124" s="490"/>
    </row>
    <row r="125" spans="1:12" ht="12.75" customHeight="1">
      <c r="A125" s="393" t="s">
        <v>465</v>
      </c>
      <c r="B125" s="471"/>
      <c r="C125" s="530"/>
      <c r="D125" s="519"/>
      <c r="E125" s="519">
        <f>G125-F125</f>
        <v>791123.15449278895</v>
      </c>
      <c r="F125" s="394">
        <f>SUM(F119:F124)</f>
        <v>4163806.0762778381</v>
      </c>
      <c r="G125" s="395">
        <f>SUM(G119:G124)</f>
        <v>4954929.230770627</v>
      </c>
      <c r="H125" s="511"/>
      <c r="K125" s="490"/>
    </row>
    <row r="126" spans="1:12" ht="12.75" customHeight="1">
      <c r="A126" s="529" t="s">
        <v>466</v>
      </c>
      <c r="B126" s="471" t="s">
        <v>467</v>
      </c>
      <c r="C126" s="538">
        <v>0.6</v>
      </c>
      <c r="D126" s="515">
        <f>+'Salarios y transporte'!C6</f>
        <v>293438</v>
      </c>
      <c r="E126" s="515">
        <f t="shared" si="4"/>
        <v>0</v>
      </c>
      <c r="F126" s="515">
        <f>+D126/C126</f>
        <v>489063.33333333337</v>
      </c>
      <c r="G126" s="517">
        <f>+D126/C126</f>
        <v>489063.33333333337</v>
      </c>
      <c r="H126" s="511"/>
      <c r="K126" s="391"/>
    </row>
    <row r="127" spans="1:12">
      <c r="A127" s="512" t="s">
        <v>419</v>
      </c>
      <c r="B127" s="471" t="s">
        <v>420</v>
      </c>
      <c r="C127" s="472">
        <v>0.05</v>
      </c>
      <c r="D127" s="519">
        <f>+G126</f>
        <v>489063.33333333337</v>
      </c>
      <c r="E127" s="519">
        <f t="shared" si="4"/>
        <v>0</v>
      </c>
      <c r="F127" s="519">
        <f>+D127*C127</f>
        <v>24453.166666666672</v>
      </c>
      <c r="G127" s="521">
        <f>+D127*C127</f>
        <v>24453.166666666672</v>
      </c>
      <c r="H127" s="511"/>
    </row>
    <row r="128" spans="1:12" ht="13.5" thickBot="1">
      <c r="A128" s="396" t="s">
        <v>468</v>
      </c>
      <c r="B128" s="471"/>
      <c r="C128" s="472"/>
      <c r="D128" s="522"/>
      <c r="E128" s="523"/>
      <c r="F128" s="522">
        <f>SUM(F126:F127)</f>
        <v>513516.50000000006</v>
      </c>
      <c r="G128" s="522">
        <f>SUM(G126:G127)</f>
        <v>513516.50000000006</v>
      </c>
      <c r="H128" s="397"/>
      <c r="I128" s="470"/>
    </row>
    <row r="129" spans="1:12" ht="13.5" customHeight="1" thickTop="1" thickBot="1">
      <c r="A129" s="398" t="s">
        <v>454</v>
      </c>
      <c r="B129" s="524"/>
      <c r="C129" s="525"/>
      <c r="D129" s="526"/>
      <c r="E129" s="527"/>
      <c r="F129" s="380">
        <f>F125+F126+F127</f>
        <v>4677322.5762778381</v>
      </c>
      <c r="G129" s="381">
        <f>G125+G126+G127</f>
        <v>5468445.730770627</v>
      </c>
      <c r="H129" s="511"/>
      <c r="I129" s="490"/>
    </row>
    <row r="130" spans="1:12" ht="13.5" customHeight="1" thickTop="1" thickBot="1">
      <c r="A130" s="388"/>
      <c r="B130" s="513"/>
      <c r="C130" s="518"/>
      <c r="D130" s="522"/>
      <c r="E130" s="523"/>
      <c r="F130" s="385"/>
      <c r="G130" s="603"/>
      <c r="H130" s="511"/>
      <c r="I130" s="490"/>
    </row>
    <row r="131" spans="1:12" ht="36.6" customHeight="1" thickTop="1">
      <c r="A131" s="1299" t="s">
        <v>475</v>
      </c>
      <c r="B131" s="1300"/>
      <c r="C131" s="1300"/>
      <c r="D131" s="1300"/>
      <c r="E131" s="1300"/>
      <c r="F131" s="1300"/>
      <c r="G131" s="1301"/>
      <c r="H131" s="511"/>
    </row>
    <row r="132" spans="1:12" ht="38.25">
      <c r="A132" s="548" t="s">
        <v>476</v>
      </c>
      <c r="B132" s="549" t="s">
        <v>100</v>
      </c>
      <c r="C132" s="550">
        <v>1</v>
      </c>
      <c r="D132" s="551">
        <f>'VALOR UNITARIO SS Y TG'!C20</f>
        <v>834751.93730262446</v>
      </c>
      <c r="E132" s="552">
        <f>G132-F132</f>
        <v>133279.72108193161</v>
      </c>
      <c r="F132" s="552">
        <f>C132*(D132/1.19)</f>
        <v>701472.21622069285</v>
      </c>
      <c r="G132" s="553">
        <f>+C132*(D132)</f>
        <v>834751.93730262446</v>
      </c>
      <c r="H132" s="511"/>
    </row>
    <row r="133" spans="1:12">
      <c r="A133" s="548"/>
      <c r="B133" s="549"/>
      <c r="C133" s="550"/>
      <c r="D133" s="550"/>
      <c r="E133" s="552"/>
      <c r="F133" s="552"/>
      <c r="G133" s="558"/>
      <c r="H133" s="511"/>
    </row>
    <row r="134" spans="1:12">
      <c r="A134" s="512" t="s">
        <v>461</v>
      </c>
      <c r="B134" s="513" t="s">
        <v>100</v>
      </c>
      <c r="C134" s="518">
        <v>2</v>
      </c>
      <c r="D134" s="519">
        <f>'Actualizacion de precios'!C26</f>
        <v>3200</v>
      </c>
      <c r="E134" s="519">
        <f>G134-F134</f>
        <v>1021.8487394957983</v>
      </c>
      <c r="F134" s="519">
        <f>+C134*D134/1.19</f>
        <v>5378.1512605042017</v>
      </c>
      <c r="G134" s="554">
        <f>+C134*(D134)</f>
        <v>6400</v>
      </c>
      <c r="H134" s="511"/>
    </row>
    <row r="135" spans="1:12">
      <c r="A135" s="512" t="s">
        <v>472</v>
      </c>
      <c r="B135" s="513" t="s">
        <v>100</v>
      </c>
      <c r="C135" s="518">
        <v>1</v>
      </c>
      <c r="D135" s="500">
        <f>'Actualizacion de precios'!C38</f>
        <v>4693</v>
      </c>
      <c r="E135" s="519">
        <f>G135-F135</f>
        <v>749.30252100840335</v>
      </c>
      <c r="F135" s="519">
        <f>+C135*D135/1.19</f>
        <v>3943.6974789915967</v>
      </c>
      <c r="G135" s="554">
        <f>+C135*(D135)</f>
        <v>4693</v>
      </c>
      <c r="H135" s="511"/>
    </row>
    <row r="136" spans="1:12">
      <c r="A136" s="529" t="s">
        <v>464</v>
      </c>
      <c r="B136" s="471" t="s">
        <v>100</v>
      </c>
      <c r="C136" s="518">
        <v>1</v>
      </c>
      <c r="D136" s="597">
        <f>'Salarios y transporte'!C28</f>
        <v>301806.66222222219</v>
      </c>
      <c r="E136" s="520"/>
      <c r="F136" s="519">
        <f>+D136/C136</f>
        <v>301806.66222222219</v>
      </c>
      <c r="G136" s="554">
        <f>+D136/C136</f>
        <v>301806.66222222219</v>
      </c>
      <c r="H136" s="511"/>
    </row>
    <row r="137" spans="1:12">
      <c r="A137" s="393" t="s">
        <v>465</v>
      </c>
      <c r="B137" s="471"/>
      <c r="C137" s="518"/>
      <c r="D137" s="519"/>
      <c r="E137" s="520"/>
      <c r="F137" s="394">
        <f>SUM(F132:F136)</f>
        <v>1012600.7271824108</v>
      </c>
      <c r="G137" s="395">
        <f>SUM(G132:G136)</f>
        <v>1147651.5995248468</v>
      </c>
      <c r="H137" s="511"/>
    </row>
    <row r="138" spans="1:12">
      <c r="A138" s="529" t="s">
        <v>453</v>
      </c>
      <c r="B138" s="471" t="s">
        <v>467</v>
      </c>
      <c r="C138" s="514">
        <v>2</v>
      </c>
      <c r="D138" s="515">
        <f>'Salarios y transporte'!C4</f>
        <v>149896</v>
      </c>
      <c r="E138" s="516"/>
      <c r="F138" s="515">
        <f>+D138/C138</f>
        <v>74948</v>
      </c>
      <c r="G138" s="517">
        <f>+D138/C138</f>
        <v>74948</v>
      </c>
      <c r="H138" s="511"/>
      <c r="I138" s="557">
        <f>+'ppto sistema septico'!V27</f>
        <v>0</v>
      </c>
      <c r="J138" s="540">
        <f>I138*(F132+F134+F135)</f>
        <v>0</v>
      </c>
      <c r="K138" s="540">
        <f>I138*(G132+G134+G135)</f>
        <v>0</v>
      </c>
      <c r="L138" s="490">
        <f>K138-J138</f>
        <v>0</v>
      </c>
    </row>
    <row r="139" spans="1:12">
      <c r="A139" s="512" t="s">
        <v>419</v>
      </c>
      <c r="B139" s="471" t="s">
        <v>420</v>
      </c>
      <c r="C139" s="472">
        <v>0.05</v>
      </c>
      <c r="D139" s="519">
        <f>+G138</f>
        <v>74948</v>
      </c>
      <c r="E139" s="520"/>
      <c r="F139" s="519">
        <f>+D139*C139</f>
        <v>3747.4</v>
      </c>
      <c r="G139" s="521">
        <f>+D139*C139</f>
        <v>3747.4</v>
      </c>
      <c r="H139" s="511"/>
    </row>
    <row r="140" spans="1:12" ht="13.5" thickBot="1">
      <c r="A140" s="396" t="s">
        <v>468</v>
      </c>
      <c r="B140" s="471"/>
      <c r="C140" s="472"/>
      <c r="D140" s="522"/>
      <c r="E140" s="523"/>
      <c r="F140" s="522">
        <f>SUM(F138:F139)</f>
        <v>78695.399999999994</v>
      </c>
      <c r="G140" s="522">
        <f>SUM(G138:G139)</f>
        <v>78695.399999999994</v>
      </c>
      <c r="H140" s="511"/>
    </row>
    <row r="141" spans="1:12" ht="14.25" thickTop="1" thickBot="1">
      <c r="A141" s="398" t="s">
        <v>454</v>
      </c>
      <c r="B141" s="524"/>
      <c r="C141" s="525"/>
      <c r="D141" s="526"/>
      <c r="E141" s="527"/>
      <c r="F141" s="380">
        <f>F137+F138+F139</f>
        <v>1091296.1271824106</v>
      </c>
      <c r="G141" s="381">
        <f>G137+G138+G139</f>
        <v>1226346.9995248467</v>
      </c>
      <c r="H141" s="511"/>
    </row>
    <row r="142" spans="1:12" ht="13.5" thickTop="1">
      <c r="A142" s="382"/>
      <c r="B142" s="383"/>
      <c r="C142" s="384"/>
      <c r="D142" s="385"/>
      <c r="E142" s="386"/>
      <c r="F142" s="385"/>
      <c r="G142" s="386"/>
      <c r="H142" s="511"/>
      <c r="I142" s="490"/>
    </row>
    <row r="143" spans="1:12" ht="13.5" thickBot="1">
      <c r="A143" s="382"/>
      <c r="B143" s="383"/>
      <c r="C143" s="384"/>
      <c r="D143" s="385"/>
      <c r="E143" s="386"/>
      <c r="F143" s="385"/>
      <c r="G143" s="386"/>
      <c r="H143" s="511"/>
      <c r="I143" s="490"/>
    </row>
    <row r="144" spans="1:12" ht="69" customHeight="1" thickTop="1">
      <c r="A144" s="1308" t="s">
        <v>477</v>
      </c>
      <c r="B144" s="1309"/>
      <c r="C144" s="1309"/>
      <c r="D144" s="1309"/>
      <c r="E144" s="1309"/>
      <c r="F144" s="1309"/>
      <c r="G144" s="1310"/>
      <c r="H144" s="511"/>
      <c r="I144" s="399"/>
    </row>
    <row r="145" spans="1:12" ht="76.5">
      <c r="A145" s="548" t="s">
        <v>478</v>
      </c>
      <c r="B145" s="549" t="s">
        <v>100</v>
      </c>
      <c r="C145" s="550">
        <v>1</v>
      </c>
      <c r="D145" s="551">
        <f>+'VALOR UNITARIO SS Y TG'!C7</f>
        <v>6465339.6024664547</v>
      </c>
      <c r="E145" s="552">
        <f>G145-F145</f>
        <v>1032281.1129988451</v>
      </c>
      <c r="F145" s="552">
        <f>C145*(D145/1.19)</f>
        <v>5433058.4894676097</v>
      </c>
      <c r="G145" s="553">
        <f>+C145*(D145)</f>
        <v>6465339.6024664547</v>
      </c>
      <c r="H145" s="511"/>
      <c r="I145" s="550">
        <f>+'ppto sistema septico'!V28</f>
        <v>0</v>
      </c>
      <c r="J145" s="540">
        <f>I145*(F145+F148+F146)</f>
        <v>0</v>
      </c>
      <c r="K145" s="540">
        <f>I145*(G145+G148+G146)</f>
        <v>0</v>
      </c>
      <c r="L145" s="540">
        <f>K145-J145</f>
        <v>0</v>
      </c>
    </row>
    <row r="146" spans="1:12">
      <c r="A146" s="529" t="s">
        <v>433</v>
      </c>
      <c r="B146" s="471" t="s">
        <v>97</v>
      </c>
      <c r="C146" s="518">
        <v>1</v>
      </c>
      <c r="D146" s="587">
        <f>'Actualizacion de precios'!C31</f>
        <v>15121.5</v>
      </c>
      <c r="E146" s="552">
        <f>G146-F146</f>
        <v>2414.3571428571431</v>
      </c>
      <c r="F146" s="552">
        <f>C146*(D146/1.19)</f>
        <v>12707.142857142857</v>
      </c>
      <c r="G146" s="558">
        <f>+C146*(D146)</f>
        <v>15121.5</v>
      </c>
      <c r="H146" s="511"/>
    </row>
    <row r="147" spans="1:12">
      <c r="A147" s="512" t="s">
        <v>461</v>
      </c>
      <c r="B147" s="513" t="s">
        <v>100</v>
      </c>
      <c r="C147" s="518">
        <v>2</v>
      </c>
      <c r="D147" s="500">
        <v>0</v>
      </c>
      <c r="E147" s="552">
        <f>G147-F147</f>
        <v>0</v>
      </c>
      <c r="F147" s="552">
        <f>C147*(D147/1.19)</f>
        <v>0</v>
      </c>
      <c r="G147" s="558">
        <f>+C147*(D147)</f>
        <v>0</v>
      </c>
      <c r="H147" s="511"/>
      <c r="K147" s="490"/>
    </row>
    <row r="148" spans="1:12">
      <c r="A148" s="512" t="s">
        <v>462</v>
      </c>
      <c r="B148" s="513" t="s">
        <v>100</v>
      </c>
      <c r="C148" s="518">
        <v>0</v>
      </c>
      <c r="D148" s="500">
        <f>'Actualizacion de precios'!C12</f>
        <v>12061</v>
      </c>
      <c r="E148" s="552">
        <f>G148-F148</f>
        <v>0</v>
      </c>
      <c r="F148" s="552">
        <f>C148*(D148/1.19)</f>
        <v>0</v>
      </c>
      <c r="G148" s="558">
        <f>+C148*(D148)</f>
        <v>0</v>
      </c>
      <c r="H148" s="511"/>
      <c r="K148" s="490"/>
    </row>
    <row r="149" spans="1:12">
      <c r="A149" s="529" t="s">
        <v>463</v>
      </c>
      <c r="B149" s="471" t="s">
        <v>100</v>
      </c>
      <c r="C149" s="472"/>
      <c r="D149" s="500">
        <f>+'Actualizacion de precios'!C15</f>
        <v>0</v>
      </c>
      <c r="E149" s="552">
        <f>G149-F149</f>
        <v>0</v>
      </c>
      <c r="F149" s="552">
        <f>C149*(D149/1.19)</f>
        <v>0</v>
      </c>
      <c r="G149" s="558">
        <f>+C149*(D149)</f>
        <v>0</v>
      </c>
      <c r="K149" s="490"/>
    </row>
    <row r="150" spans="1:12" ht="12.75" customHeight="1">
      <c r="A150" s="529" t="s">
        <v>464</v>
      </c>
      <c r="B150" s="471" t="s">
        <v>100</v>
      </c>
      <c r="C150" s="518">
        <v>1</v>
      </c>
      <c r="D150" s="597" t="str">
        <f>'Salarios y transporte'!E26</f>
        <v>0</v>
      </c>
      <c r="E150" s="520"/>
      <c r="F150" s="519">
        <f>+D150/C150</f>
        <v>0</v>
      </c>
      <c r="G150" s="554">
        <f>+D150/C150</f>
        <v>0</v>
      </c>
      <c r="H150" s="511"/>
      <c r="K150" s="490"/>
    </row>
    <row r="151" spans="1:12" ht="12.75" customHeight="1">
      <c r="A151" s="529" t="s">
        <v>466</v>
      </c>
      <c r="B151" s="471" t="s">
        <v>467</v>
      </c>
      <c r="C151" s="514">
        <v>0.6</v>
      </c>
      <c r="D151" s="515">
        <f>+'Salarios y transporte'!C6</f>
        <v>293438</v>
      </c>
      <c r="E151" s="516"/>
      <c r="F151" s="515">
        <f>+D151/C151</f>
        <v>489063.33333333337</v>
      </c>
      <c r="G151" s="517">
        <f>+D151/C151</f>
        <v>489063.33333333337</v>
      </c>
      <c r="H151" s="511"/>
      <c r="K151" s="391"/>
    </row>
    <row r="152" spans="1:12" ht="12.75" customHeight="1">
      <c r="A152" s="512" t="s">
        <v>419</v>
      </c>
      <c r="B152" s="471" t="s">
        <v>420</v>
      </c>
      <c r="C152" s="472">
        <v>0.05</v>
      </c>
      <c r="D152" s="519">
        <f>+G151</f>
        <v>489063.33333333337</v>
      </c>
      <c r="E152" s="520"/>
      <c r="F152" s="519">
        <f>+D152*C152</f>
        <v>24453.166666666672</v>
      </c>
      <c r="G152" s="521">
        <f>+D152*C152</f>
        <v>24453.166666666672</v>
      </c>
      <c r="H152" s="511"/>
    </row>
    <row r="153" spans="1:12" ht="8.1" customHeight="1" thickBot="1">
      <c r="A153" s="529"/>
      <c r="B153" s="471"/>
      <c r="C153" s="472"/>
      <c r="D153" s="522"/>
      <c r="E153" s="523"/>
      <c r="F153" s="522"/>
      <c r="G153" s="378"/>
      <c r="H153" s="397"/>
      <c r="I153" s="470"/>
    </row>
    <row r="154" spans="1:12" ht="13.5" customHeight="1" thickTop="1" thickBot="1">
      <c r="A154" s="379" t="s">
        <v>454</v>
      </c>
      <c r="B154" s="524"/>
      <c r="C154" s="525"/>
      <c r="D154" s="527"/>
      <c r="E154" s="527"/>
      <c r="F154" s="380">
        <f>SUM(F145:F152)</f>
        <v>5959282.1323247524</v>
      </c>
      <c r="G154" s="381">
        <f>SUM(G145:G152)</f>
        <v>6993977.6024664547</v>
      </c>
      <c r="H154" s="511"/>
    </row>
    <row r="155" spans="1:12" ht="13.5" customHeight="1" thickTop="1" thickBot="1">
      <c r="A155" s="382"/>
      <c r="B155" s="513"/>
      <c r="C155" s="518"/>
      <c r="D155" s="523"/>
      <c r="E155" s="523"/>
      <c r="F155" s="385"/>
      <c r="G155" s="603"/>
      <c r="H155" s="511"/>
    </row>
    <row r="156" spans="1:12" ht="36.6" customHeight="1" thickTop="1">
      <c r="A156" s="1299" t="s">
        <v>479</v>
      </c>
      <c r="B156" s="1300"/>
      <c r="C156" s="1300"/>
      <c r="D156" s="1300"/>
      <c r="E156" s="1300"/>
      <c r="F156" s="1300"/>
      <c r="G156" s="1301"/>
      <c r="H156" s="511"/>
    </row>
    <row r="157" spans="1:12" ht="38.25">
      <c r="A157" s="548" t="s">
        <v>480</v>
      </c>
      <c r="B157" s="549" t="s">
        <v>100</v>
      </c>
      <c r="C157" s="550">
        <v>1</v>
      </c>
      <c r="D157" s="551">
        <f>'VALOR UNITARIO SS Y TG'!C21</f>
        <v>1022512.24887522</v>
      </c>
      <c r="E157" s="552">
        <f>G157-F157</f>
        <v>163258.25822377461</v>
      </c>
      <c r="F157" s="552">
        <f>C157*(D157/1.19)</f>
        <v>859253.99065144535</v>
      </c>
      <c r="G157" s="553">
        <f>+C157*(D157)</f>
        <v>1022512.24887522</v>
      </c>
      <c r="H157" s="511"/>
    </row>
    <row r="158" spans="1:12">
      <c r="A158" s="548"/>
      <c r="B158" s="549"/>
      <c r="C158" s="550"/>
      <c r="D158" s="552"/>
      <c r="E158" s="552"/>
      <c r="F158" s="552"/>
      <c r="G158" s="558"/>
      <c r="H158" s="511"/>
    </row>
    <row r="159" spans="1:12">
      <c r="A159" s="512" t="s">
        <v>461</v>
      </c>
      <c r="B159" s="513" t="s">
        <v>100</v>
      </c>
      <c r="C159" s="518">
        <v>2</v>
      </c>
      <c r="D159" s="519">
        <f>'Actualizacion de precios'!C26</f>
        <v>3200</v>
      </c>
      <c r="E159" s="519">
        <f>G159-F159</f>
        <v>1021.8487394957983</v>
      </c>
      <c r="F159" s="519">
        <f>+C159*D159/1.19</f>
        <v>5378.1512605042017</v>
      </c>
      <c r="G159" s="554">
        <f>+C159*(D159)</f>
        <v>6400</v>
      </c>
      <c r="H159" s="511"/>
    </row>
    <row r="160" spans="1:12">
      <c r="A160" s="512" t="s">
        <v>472</v>
      </c>
      <c r="B160" s="513" t="s">
        <v>100</v>
      </c>
      <c r="C160" s="518">
        <v>1</v>
      </c>
      <c r="D160" s="500">
        <f>'Actualizacion de precios'!C38</f>
        <v>4693</v>
      </c>
      <c r="E160" s="519">
        <f>G160-F160</f>
        <v>749.30252100840335</v>
      </c>
      <c r="F160" s="519">
        <f>+C160*D160/1.19</f>
        <v>3943.6974789915967</v>
      </c>
      <c r="G160" s="554">
        <f>+C160*(D160)</f>
        <v>4693</v>
      </c>
      <c r="H160" s="511"/>
    </row>
    <row r="161" spans="1:12">
      <c r="A161" s="529" t="s">
        <v>464</v>
      </c>
      <c r="B161" s="471" t="s">
        <v>100</v>
      </c>
      <c r="C161" s="518">
        <v>1</v>
      </c>
      <c r="D161" s="597">
        <f>'Salarios y transporte'!C28</f>
        <v>301806.66222222219</v>
      </c>
      <c r="E161" s="520"/>
      <c r="F161" s="519">
        <f>+D161/C161</f>
        <v>301806.66222222219</v>
      </c>
      <c r="G161" s="554">
        <f>+D161/C161</f>
        <v>301806.66222222219</v>
      </c>
      <c r="H161" s="511"/>
    </row>
    <row r="162" spans="1:12">
      <c r="A162" s="393" t="s">
        <v>465</v>
      </c>
      <c r="B162" s="471"/>
      <c r="C162" s="518"/>
      <c r="D162" s="519"/>
      <c r="E162" s="520"/>
      <c r="F162" s="394">
        <f>SUM(F157:F161)</f>
        <v>1170382.5016131634</v>
      </c>
      <c r="G162" s="395">
        <f>SUM(G157:G161)</f>
        <v>1335411.9110974423</v>
      </c>
      <c r="H162" s="511"/>
    </row>
    <row r="163" spans="1:12">
      <c r="A163" s="529" t="s">
        <v>453</v>
      </c>
      <c r="B163" s="471" t="s">
        <v>467</v>
      </c>
      <c r="C163" s="514">
        <v>2</v>
      </c>
      <c r="D163" s="515">
        <f>'Salarios y transporte'!C4</f>
        <v>149896</v>
      </c>
      <c r="E163" s="516"/>
      <c r="F163" s="515">
        <f>+D163/C163</f>
        <v>74948</v>
      </c>
      <c r="G163" s="517">
        <f>+D163/C163</f>
        <v>74948</v>
      </c>
      <c r="H163" s="511"/>
      <c r="I163" s="557">
        <f>+'ppto sistema septico'!V29</f>
        <v>0</v>
      </c>
      <c r="J163" s="540">
        <f>I163*(F157+F159+F160)</f>
        <v>0</v>
      </c>
      <c r="K163" s="540">
        <f>I163*(G157+G159+G160)</f>
        <v>0</v>
      </c>
      <c r="L163" s="490">
        <f>K163-J163</f>
        <v>0</v>
      </c>
    </row>
    <row r="164" spans="1:12">
      <c r="A164" s="512" t="s">
        <v>419</v>
      </c>
      <c r="B164" s="471" t="s">
        <v>420</v>
      </c>
      <c r="C164" s="472">
        <v>0.05</v>
      </c>
      <c r="D164" s="519">
        <f>+G163</f>
        <v>74948</v>
      </c>
      <c r="E164" s="520"/>
      <c r="F164" s="519">
        <f>+D164*C164</f>
        <v>3747.4</v>
      </c>
      <c r="G164" s="521">
        <f>+D164*C164</f>
        <v>3747.4</v>
      </c>
      <c r="H164" s="511"/>
    </row>
    <row r="165" spans="1:12" ht="13.5" thickBot="1">
      <c r="A165" s="396" t="s">
        <v>468</v>
      </c>
      <c r="B165" s="471"/>
      <c r="C165" s="472"/>
      <c r="D165" s="522"/>
      <c r="E165" s="523"/>
      <c r="F165" s="522">
        <f>SUM(F163:F164)</f>
        <v>78695.399999999994</v>
      </c>
      <c r="G165" s="522">
        <f>SUM(G163:G164)</f>
        <v>78695.399999999994</v>
      </c>
      <c r="H165" s="511"/>
    </row>
    <row r="166" spans="1:12" ht="14.25" thickTop="1" thickBot="1">
      <c r="A166" s="398" t="s">
        <v>454</v>
      </c>
      <c r="B166" s="524"/>
      <c r="C166" s="525"/>
      <c r="D166" s="526"/>
      <c r="E166" s="527"/>
      <c r="F166" s="380">
        <f>F162+F163+F164</f>
        <v>1249077.9016131633</v>
      </c>
      <c r="G166" s="381">
        <f>G162+G163+G164</f>
        <v>1414107.3110974422</v>
      </c>
      <c r="H166" s="511"/>
    </row>
    <row r="167" spans="1:12" ht="14.25" thickTop="1" thickBot="1">
      <c r="A167" s="382"/>
      <c r="B167" s="383"/>
      <c r="C167" s="384"/>
      <c r="D167" s="385"/>
      <c r="E167" s="386"/>
      <c r="F167" s="385"/>
      <c r="G167" s="386"/>
      <c r="H167" s="511"/>
    </row>
    <row r="168" spans="1:12" ht="69" customHeight="1" thickTop="1">
      <c r="A168" s="1308" t="s">
        <v>481</v>
      </c>
      <c r="B168" s="1309"/>
      <c r="C168" s="1309"/>
      <c r="D168" s="1309"/>
      <c r="E168" s="1309"/>
      <c r="F168" s="1309"/>
      <c r="G168" s="1310"/>
      <c r="H168" s="511"/>
      <c r="I168" s="399"/>
    </row>
    <row r="169" spans="1:12" ht="73.5" customHeight="1">
      <c r="A169" s="548" t="s">
        <v>482</v>
      </c>
      <c r="B169" s="549" t="s">
        <v>100</v>
      </c>
      <c r="C169" s="550">
        <v>1</v>
      </c>
      <c r="D169" s="551">
        <f>+'VALOR UNITARIO SS Y TG'!C8</f>
        <v>10002386.607526038</v>
      </c>
      <c r="E169" s="552">
        <f>G169-F169</f>
        <v>1597019.7104453333</v>
      </c>
      <c r="F169" s="552">
        <f>C169*(D169/1.19)</f>
        <v>8405366.8970807046</v>
      </c>
      <c r="G169" s="553">
        <f>+C169*(D169)</f>
        <v>10002386.607526038</v>
      </c>
      <c r="H169" s="511"/>
      <c r="I169" s="559">
        <f>+'ppto sistema septico'!V30</f>
        <v>0</v>
      </c>
      <c r="J169" s="540">
        <f>(F169+F172+F170)*I169</f>
        <v>0</v>
      </c>
      <c r="K169" s="540">
        <f>I169*(G169+G172+G170)</f>
        <v>0</v>
      </c>
      <c r="L169" s="540">
        <f>K169-J169</f>
        <v>0</v>
      </c>
    </row>
    <row r="170" spans="1:12">
      <c r="A170" s="529" t="s">
        <v>433</v>
      </c>
      <c r="B170" s="471" t="s">
        <v>97</v>
      </c>
      <c r="C170" s="518">
        <v>1</v>
      </c>
      <c r="D170" s="587">
        <f>'Actualizacion de precios'!C31</f>
        <v>15121.5</v>
      </c>
      <c r="E170" s="519">
        <f t="shared" ref="E170:E176" si="5">G170-F170</f>
        <v>2414.3571428571431</v>
      </c>
      <c r="F170" s="519">
        <f>C170*(D170/1.19)</f>
        <v>12707.142857142857</v>
      </c>
      <c r="G170" s="554">
        <f>+C170*(D170)</f>
        <v>15121.5</v>
      </c>
      <c r="H170" s="511"/>
    </row>
    <row r="171" spans="1:12">
      <c r="A171" s="512" t="s">
        <v>461</v>
      </c>
      <c r="B171" s="513" t="s">
        <v>100</v>
      </c>
      <c r="C171" s="518">
        <v>2</v>
      </c>
      <c r="D171" s="500">
        <v>0</v>
      </c>
      <c r="E171" s="519">
        <f t="shared" si="5"/>
        <v>0</v>
      </c>
      <c r="F171" s="519">
        <f>C171*(D171/1.19)</f>
        <v>0</v>
      </c>
      <c r="G171" s="554">
        <f>+C171*(D171)</f>
        <v>0</v>
      </c>
      <c r="H171" s="511"/>
      <c r="K171" s="490"/>
    </row>
    <row r="172" spans="1:12">
      <c r="A172" s="512" t="s">
        <v>462</v>
      </c>
      <c r="B172" s="513" t="s">
        <v>100</v>
      </c>
      <c r="C172" s="518">
        <v>0</v>
      </c>
      <c r="D172" s="500">
        <f>'Actualizacion de precios'!C12</f>
        <v>12061</v>
      </c>
      <c r="E172" s="519">
        <f t="shared" si="5"/>
        <v>0</v>
      </c>
      <c r="F172" s="519">
        <f>C172*(D172/1.19)</f>
        <v>0</v>
      </c>
      <c r="G172" s="554">
        <f>+C172*(D172)</f>
        <v>0</v>
      </c>
      <c r="H172" s="511"/>
      <c r="K172" s="490"/>
    </row>
    <row r="173" spans="1:12">
      <c r="A173" s="529" t="s">
        <v>463</v>
      </c>
      <c r="B173" s="471" t="s">
        <v>100</v>
      </c>
      <c r="C173" s="472">
        <v>2</v>
      </c>
      <c r="D173" s="500">
        <f>+'Actualizacion de precios'!C15</f>
        <v>0</v>
      </c>
      <c r="E173" s="519">
        <f t="shared" si="5"/>
        <v>0</v>
      </c>
      <c r="F173" s="519">
        <f>C173*(D173/1.19)</f>
        <v>0</v>
      </c>
      <c r="G173" s="554">
        <f>+C173*(D173)</f>
        <v>0</v>
      </c>
      <c r="K173" s="490"/>
    </row>
    <row r="174" spans="1:12" ht="12.75" customHeight="1">
      <c r="A174" s="529" t="s">
        <v>464</v>
      </c>
      <c r="B174" s="471" t="s">
        <v>100</v>
      </c>
      <c r="C174" s="518">
        <v>1</v>
      </c>
      <c r="D174" s="597" t="str">
        <f>'Salarios y transporte'!F26</f>
        <v>0</v>
      </c>
      <c r="E174" s="520"/>
      <c r="F174" s="519">
        <f>+D174/C174</f>
        <v>0</v>
      </c>
      <c r="G174" s="554">
        <f>+D174/C174</f>
        <v>0</v>
      </c>
      <c r="H174" s="511"/>
      <c r="I174" s="490"/>
    </row>
    <row r="175" spans="1:12" ht="12.75" customHeight="1">
      <c r="A175" s="529" t="s">
        <v>466</v>
      </c>
      <c r="B175" s="471" t="s">
        <v>467</v>
      </c>
      <c r="C175" s="514">
        <v>0.5</v>
      </c>
      <c r="D175" s="515">
        <f>+'Salarios y transporte'!C6</f>
        <v>293438</v>
      </c>
      <c r="E175" s="515">
        <f t="shared" si="5"/>
        <v>0</v>
      </c>
      <c r="F175" s="515">
        <f>+D175/C175</f>
        <v>586876</v>
      </c>
      <c r="G175" s="517">
        <f>+D175/C175</f>
        <v>586876</v>
      </c>
      <c r="H175" s="511"/>
    </row>
    <row r="176" spans="1:12" ht="12.75" customHeight="1">
      <c r="A176" s="512" t="s">
        <v>419</v>
      </c>
      <c r="B176" s="471" t="s">
        <v>420</v>
      </c>
      <c r="C176" s="472">
        <v>0.05</v>
      </c>
      <c r="D176" s="519">
        <f>+G175</f>
        <v>586876</v>
      </c>
      <c r="E176" s="519">
        <f t="shared" si="5"/>
        <v>0</v>
      </c>
      <c r="F176" s="519">
        <f>+D176*C176</f>
        <v>29343.800000000003</v>
      </c>
      <c r="G176" s="521">
        <f>+D176*C176</f>
        <v>29343.800000000003</v>
      </c>
      <c r="H176" s="511"/>
    </row>
    <row r="177" spans="1:12" ht="8.1" customHeight="1" thickBot="1">
      <c r="A177" s="529"/>
      <c r="B177" s="471"/>
      <c r="C177" s="472"/>
      <c r="D177" s="522"/>
      <c r="E177" s="523"/>
      <c r="F177" s="522"/>
      <c r="G177" s="378"/>
      <c r="H177" s="397"/>
      <c r="I177" s="470"/>
    </row>
    <row r="178" spans="1:12" ht="13.5" customHeight="1" thickTop="1" thickBot="1">
      <c r="A178" s="379" t="s">
        <v>454</v>
      </c>
      <c r="B178" s="524"/>
      <c r="C178" s="525"/>
      <c r="D178" s="527"/>
      <c r="E178" s="527"/>
      <c r="F178" s="380">
        <f>SUM(F169:F177)</f>
        <v>9034293.839937849</v>
      </c>
      <c r="G178" s="381">
        <f>SUM(G169:G177)</f>
        <v>10633727.907526039</v>
      </c>
      <c r="H178" s="511"/>
    </row>
    <row r="179" spans="1:12" ht="13.5" customHeight="1" thickTop="1" thickBot="1">
      <c r="A179" s="382"/>
      <c r="B179" s="513"/>
      <c r="C179" s="518"/>
      <c r="D179" s="523"/>
      <c r="E179" s="523"/>
      <c r="F179" s="385"/>
      <c r="G179" s="603"/>
      <c r="H179" s="511"/>
    </row>
    <row r="180" spans="1:12" ht="36.6" customHeight="1" thickTop="1">
      <c r="A180" s="1299" t="s">
        <v>483</v>
      </c>
      <c r="B180" s="1300"/>
      <c r="C180" s="1300"/>
      <c r="D180" s="1300"/>
      <c r="E180" s="1300"/>
      <c r="F180" s="1300"/>
      <c r="G180" s="1301"/>
      <c r="H180" s="511"/>
    </row>
    <row r="181" spans="1:12" ht="38.25">
      <c r="A181" s="548" t="s">
        <v>484</v>
      </c>
      <c r="B181" s="549" t="s">
        <v>100</v>
      </c>
      <c r="C181" s="550">
        <v>1</v>
      </c>
      <c r="D181" s="551">
        <f>+'VALOR UNITARIO SS Y TG'!C22</f>
        <v>1400949.1656211668</v>
      </c>
      <c r="E181" s="552">
        <f>G181-F181</f>
        <v>223680.95921682497</v>
      </c>
      <c r="F181" s="552">
        <f>C181*(D181/1.19)</f>
        <v>1177268.2064043419</v>
      </c>
      <c r="G181" s="553">
        <f>+C181*(D181)</f>
        <v>1400949.1656211668</v>
      </c>
      <c r="H181" s="511"/>
    </row>
    <row r="182" spans="1:12">
      <c r="A182" s="548"/>
      <c r="B182" s="549"/>
      <c r="C182" s="550"/>
      <c r="D182" s="552"/>
      <c r="E182" s="552"/>
      <c r="F182" s="552"/>
      <c r="G182" s="558"/>
      <c r="H182" s="511"/>
    </row>
    <row r="183" spans="1:12">
      <c r="A183" s="512" t="s">
        <v>461</v>
      </c>
      <c r="B183" s="513" t="s">
        <v>100</v>
      </c>
      <c r="C183" s="518">
        <v>2</v>
      </c>
      <c r="D183" s="519">
        <f>'Actualizacion de precios'!C26</f>
        <v>3200</v>
      </c>
      <c r="E183" s="519">
        <f>G183-F183</f>
        <v>1021.8487394957983</v>
      </c>
      <c r="F183" s="519">
        <f>+C183*D183/1.19</f>
        <v>5378.1512605042017</v>
      </c>
      <c r="G183" s="554">
        <f>+C183*(D183)</f>
        <v>6400</v>
      </c>
      <c r="H183" s="511"/>
    </row>
    <row r="184" spans="1:12">
      <c r="A184" s="512" t="s">
        <v>472</v>
      </c>
      <c r="B184" s="513" t="s">
        <v>100</v>
      </c>
      <c r="C184" s="518">
        <v>1</v>
      </c>
      <c r="D184" s="500">
        <f>'Actualizacion de precios'!C38</f>
        <v>4693</v>
      </c>
      <c r="E184" s="519">
        <f>G184-F184</f>
        <v>749.30252100840335</v>
      </c>
      <c r="F184" s="519">
        <f>+C184*D184/1.19</f>
        <v>3943.6974789915967</v>
      </c>
      <c r="G184" s="554">
        <f>+C184*(D184)</f>
        <v>4693</v>
      </c>
      <c r="H184" s="511"/>
    </row>
    <row r="185" spans="1:12">
      <c r="A185" s="529" t="s">
        <v>464</v>
      </c>
      <c r="B185" s="471" t="s">
        <v>100</v>
      </c>
      <c r="C185" s="518">
        <v>1</v>
      </c>
      <c r="D185" s="597">
        <f>'Salarios y transporte'!C28</f>
        <v>301806.66222222219</v>
      </c>
      <c r="E185" s="520"/>
      <c r="F185" s="519">
        <f>+D185/C185</f>
        <v>301806.66222222219</v>
      </c>
      <c r="G185" s="554">
        <f>+D185/C185</f>
        <v>301806.66222222219</v>
      </c>
      <c r="H185" s="511"/>
    </row>
    <row r="186" spans="1:12">
      <c r="A186" s="393" t="s">
        <v>465</v>
      </c>
      <c r="B186" s="471"/>
      <c r="C186" s="518"/>
      <c r="D186" s="519"/>
      <c r="E186" s="520"/>
      <c r="F186" s="394">
        <f>SUM(F181:F185)</f>
        <v>1488396.71736606</v>
      </c>
      <c r="G186" s="395">
        <f>SUM(G181:G185)</f>
        <v>1713848.827843389</v>
      </c>
      <c r="H186" s="511"/>
    </row>
    <row r="187" spans="1:12">
      <c r="A187" s="529" t="s">
        <v>453</v>
      </c>
      <c r="B187" s="471" t="s">
        <v>467</v>
      </c>
      <c r="C187" s="514">
        <v>2</v>
      </c>
      <c r="D187" s="515">
        <f>'Salarios y transporte'!C2</f>
        <v>143542</v>
      </c>
      <c r="E187" s="516"/>
      <c r="F187" s="515">
        <f>+D187/C187</f>
        <v>71771</v>
      </c>
      <c r="G187" s="517">
        <f>+D187/C187</f>
        <v>71771</v>
      </c>
      <c r="H187" s="511"/>
      <c r="I187" s="550">
        <f>'ppto sistema septico'!V31</f>
        <v>0</v>
      </c>
      <c r="J187" s="540">
        <f>I187*(F181+F183+F184)</f>
        <v>0</v>
      </c>
      <c r="K187" s="540">
        <f>I187*(G181+G183+G184)</f>
        <v>0</v>
      </c>
      <c r="L187" s="490">
        <f>K187-J187</f>
        <v>0</v>
      </c>
    </row>
    <row r="188" spans="1:12">
      <c r="A188" s="512" t="s">
        <v>419</v>
      </c>
      <c r="B188" s="471" t="s">
        <v>420</v>
      </c>
      <c r="C188" s="472">
        <v>0.05</v>
      </c>
      <c r="D188" s="519">
        <f>+G187</f>
        <v>71771</v>
      </c>
      <c r="E188" s="520"/>
      <c r="F188" s="519">
        <f>+D188*C188</f>
        <v>3588.55</v>
      </c>
      <c r="G188" s="521">
        <f>+D188*C188</f>
        <v>3588.55</v>
      </c>
      <c r="H188" s="511"/>
    </row>
    <row r="189" spans="1:12" ht="13.5" thickBot="1">
      <c r="A189" s="396" t="s">
        <v>468</v>
      </c>
      <c r="B189" s="471"/>
      <c r="C189" s="472"/>
      <c r="D189" s="522"/>
      <c r="E189" s="523"/>
      <c r="F189" s="522">
        <f>SUM(F187:F188)</f>
        <v>75359.55</v>
      </c>
      <c r="G189" s="522">
        <f>SUM(G187:G188)</f>
        <v>75359.55</v>
      </c>
      <c r="H189" s="511"/>
    </row>
    <row r="190" spans="1:12" ht="14.25" thickTop="1" thickBot="1">
      <c r="A190" s="398" t="s">
        <v>454</v>
      </c>
      <c r="B190" s="524"/>
      <c r="C190" s="525"/>
      <c r="D190" s="526"/>
      <c r="E190" s="527"/>
      <c r="F190" s="380">
        <f>F186+F187+F188</f>
        <v>1563756.2673660601</v>
      </c>
      <c r="G190" s="381">
        <f>G186+G187+G188</f>
        <v>1789208.3778433891</v>
      </c>
      <c r="H190" s="511"/>
    </row>
    <row r="191" spans="1:12" ht="12.75" customHeight="1" thickTop="1" thickBot="1">
      <c r="A191" s="537"/>
      <c r="B191" s="471"/>
      <c r="C191" s="518"/>
      <c r="D191" s="523"/>
      <c r="E191" s="523"/>
      <c r="F191" s="523"/>
      <c r="H191" s="511"/>
    </row>
    <row r="192" spans="1:12" ht="69" customHeight="1" thickTop="1">
      <c r="A192" s="1308" t="s">
        <v>485</v>
      </c>
      <c r="B192" s="1309"/>
      <c r="C192" s="1309"/>
      <c r="D192" s="1309"/>
      <c r="E192" s="1309"/>
      <c r="F192" s="1309"/>
      <c r="G192" s="1310"/>
      <c r="H192" s="511"/>
      <c r="I192" s="399"/>
    </row>
    <row r="193" spans="1:12" ht="65.650000000000006" customHeight="1">
      <c r="A193" s="548" t="s">
        <v>486</v>
      </c>
      <c r="B193" s="549" t="s">
        <v>100</v>
      </c>
      <c r="C193" s="550">
        <v>1</v>
      </c>
      <c r="D193" s="551">
        <f>+'VALOR UNITARIO SS Y TG'!C9</f>
        <v>14138317.70853618</v>
      </c>
      <c r="E193" s="552">
        <f>G193-F193</f>
        <v>2257378.4576654397</v>
      </c>
      <c r="F193" s="552">
        <f>C193*(D193/1.19)</f>
        <v>11880939.25087074</v>
      </c>
      <c r="G193" s="553">
        <f>+C193*(D193)</f>
        <v>14138317.70853618</v>
      </c>
      <c r="H193" s="511"/>
      <c r="I193" s="559">
        <f>+'ppto sistema septico'!V32</f>
        <v>0</v>
      </c>
      <c r="J193" s="540">
        <f>I193*(F193+F196+F194)</f>
        <v>0</v>
      </c>
      <c r="K193" s="540">
        <f>I193*(G193+G196+G194)</f>
        <v>0</v>
      </c>
      <c r="L193" s="540">
        <f>K193-J193</f>
        <v>0</v>
      </c>
    </row>
    <row r="194" spans="1:12">
      <c r="A194" s="529" t="s">
        <v>433</v>
      </c>
      <c r="B194" s="471" t="s">
        <v>97</v>
      </c>
      <c r="C194" s="518">
        <v>1</v>
      </c>
      <c r="D194" s="587">
        <f>'Actualizacion de precios'!C31</f>
        <v>15121.5</v>
      </c>
      <c r="E194" s="519">
        <f t="shared" ref="E194:E200" si="6">G194-F194</f>
        <v>2414.3571428571431</v>
      </c>
      <c r="F194" s="519">
        <f>C194*(D194/1.19)</f>
        <v>12707.142857142857</v>
      </c>
      <c r="G194" s="554">
        <f>+C194*(D194)</f>
        <v>15121.5</v>
      </c>
      <c r="H194" s="511"/>
    </row>
    <row r="195" spans="1:12">
      <c r="A195" s="512" t="s">
        <v>461</v>
      </c>
      <c r="B195" s="513" t="s">
        <v>100</v>
      </c>
      <c r="C195" s="518">
        <v>2</v>
      </c>
      <c r="D195" s="500">
        <v>0</v>
      </c>
      <c r="E195" s="519">
        <f t="shared" si="6"/>
        <v>0</v>
      </c>
      <c r="F195" s="519">
        <f>C195*(D195/1.19)</f>
        <v>0</v>
      </c>
      <c r="G195" s="554">
        <f>+C195*(D195)</f>
        <v>0</v>
      </c>
      <c r="H195" s="511"/>
    </row>
    <row r="196" spans="1:12">
      <c r="A196" s="512" t="s">
        <v>487</v>
      </c>
      <c r="B196" s="513" t="s">
        <v>100</v>
      </c>
      <c r="C196" s="518">
        <v>0</v>
      </c>
      <c r="D196" s="500">
        <f>'Actualizacion de precios'!C12</f>
        <v>12061</v>
      </c>
      <c r="E196" s="519">
        <f t="shared" si="6"/>
        <v>0</v>
      </c>
      <c r="F196" s="519">
        <f>C196*(D196/1.19)</f>
        <v>0</v>
      </c>
      <c r="G196" s="554">
        <f>+C196*(D196)</f>
        <v>0</v>
      </c>
      <c r="H196" s="511"/>
    </row>
    <row r="197" spans="1:12">
      <c r="A197" s="529" t="s">
        <v>463</v>
      </c>
      <c r="B197" s="471" t="s">
        <v>100</v>
      </c>
      <c r="C197" s="472">
        <v>2</v>
      </c>
      <c r="D197" s="500">
        <f>+'Actualizacion de precios'!C15</f>
        <v>0</v>
      </c>
      <c r="E197" s="519">
        <f t="shared" si="6"/>
        <v>0</v>
      </c>
      <c r="F197" s="519">
        <f>C197*(D197/1.19)</f>
        <v>0</v>
      </c>
      <c r="G197" s="554">
        <f>+C197*(D197)</f>
        <v>0</v>
      </c>
    </row>
    <row r="198" spans="1:12" ht="12.75" customHeight="1">
      <c r="A198" s="529" t="s">
        <v>464</v>
      </c>
      <c r="B198" s="471" t="s">
        <v>100</v>
      </c>
      <c r="C198" s="518">
        <v>1</v>
      </c>
      <c r="D198" s="597" t="str">
        <f>'Salarios y transporte'!G26</f>
        <v>0</v>
      </c>
      <c r="E198" s="520"/>
      <c r="F198" s="519">
        <f>+D198/C198</f>
        <v>0</v>
      </c>
      <c r="G198" s="554">
        <f>+D198/C198</f>
        <v>0</v>
      </c>
      <c r="H198" s="511"/>
      <c r="I198" s="490"/>
    </row>
    <row r="199" spans="1:12" ht="12.75" customHeight="1">
      <c r="A199" s="529" t="s">
        <v>466</v>
      </c>
      <c r="B199" s="471" t="s">
        <v>467</v>
      </c>
      <c r="C199" s="514">
        <v>0.4</v>
      </c>
      <c r="D199" s="515">
        <f>+'Salarios y transporte'!C6</f>
        <v>293438</v>
      </c>
      <c r="E199" s="515">
        <f t="shared" si="6"/>
        <v>0</v>
      </c>
      <c r="F199" s="515">
        <f>+D199/C199</f>
        <v>733595</v>
      </c>
      <c r="G199" s="517">
        <f>+D199/C199</f>
        <v>733595</v>
      </c>
      <c r="H199" s="511"/>
    </row>
    <row r="200" spans="1:12" ht="12.75" customHeight="1">
      <c r="A200" s="512" t="s">
        <v>419</v>
      </c>
      <c r="B200" s="471" t="s">
        <v>420</v>
      </c>
      <c r="C200" s="472">
        <v>0.05</v>
      </c>
      <c r="D200" s="519">
        <f>+G199</f>
        <v>733595</v>
      </c>
      <c r="E200" s="519">
        <f t="shared" si="6"/>
        <v>0</v>
      </c>
      <c r="F200" s="519">
        <f>+D200*C200</f>
        <v>36679.75</v>
      </c>
      <c r="G200" s="521">
        <f>+D200*C200</f>
        <v>36679.75</v>
      </c>
      <c r="H200" s="511"/>
    </row>
    <row r="201" spans="1:12" ht="8.1" customHeight="1" thickBot="1">
      <c r="A201" s="529"/>
      <c r="B201" s="471"/>
      <c r="C201" s="472"/>
      <c r="D201" s="522"/>
      <c r="E201" s="523"/>
      <c r="F201" s="522"/>
      <c r="G201" s="378"/>
      <c r="H201" s="397"/>
      <c r="I201" s="470"/>
    </row>
    <row r="202" spans="1:12" ht="13.5" customHeight="1" thickTop="1" thickBot="1">
      <c r="A202" s="379" t="s">
        <v>454</v>
      </c>
      <c r="B202" s="524"/>
      <c r="C202" s="525"/>
      <c r="D202" s="527"/>
      <c r="E202" s="527"/>
      <c r="F202" s="380">
        <f>SUM(F193:F201)</f>
        <v>12663921.143727884</v>
      </c>
      <c r="G202" s="381">
        <f>SUM(G193:G200)</f>
        <v>14923713.95853618</v>
      </c>
      <c r="H202" s="511"/>
      <c r="I202" s="490"/>
    </row>
    <row r="203" spans="1:12" ht="13.5" customHeight="1" thickTop="1" thickBot="1">
      <c r="A203" s="400"/>
      <c r="B203" s="513"/>
      <c r="C203" s="518"/>
      <c r="D203" s="523"/>
      <c r="E203" s="523"/>
      <c r="F203" s="511"/>
      <c r="G203" s="469"/>
    </row>
    <row r="204" spans="1:12" ht="36.6" customHeight="1" thickTop="1">
      <c r="A204" s="1299" t="s">
        <v>488</v>
      </c>
      <c r="B204" s="1300"/>
      <c r="C204" s="1300"/>
      <c r="D204" s="1300"/>
      <c r="E204" s="1300"/>
      <c r="F204" s="1300"/>
      <c r="G204" s="1301"/>
      <c r="H204" s="511"/>
    </row>
    <row r="205" spans="1:12" ht="38.25">
      <c r="A205" s="548" t="s">
        <v>489</v>
      </c>
      <c r="B205" s="549" t="s">
        <v>100</v>
      </c>
      <c r="C205" s="550">
        <v>1</v>
      </c>
      <c r="D205" s="551">
        <f>+'VALOR UNITARIO SS Y TG'!C23</f>
        <v>1753394.4339091156</v>
      </c>
      <c r="E205" s="552">
        <f>G205-F205</f>
        <v>279953.73314515292</v>
      </c>
      <c r="F205" s="552">
        <f>C205*(D205/1.19)</f>
        <v>1473440.7007639627</v>
      </c>
      <c r="G205" s="553">
        <f>+C205*(D205)</f>
        <v>1753394.4339091156</v>
      </c>
      <c r="H205" s="511"/>
    </row>
    <row r="206" spans="1:12">
      <c r="A206" s="548"/>
      <c r="B206" s="549"/>
      <c r="C206" s="550"/>
      <c r="D206" s="552"/>
      <c r="E206" s="552"/>
      <c r="F206" s="552"/>
      <c r="G206" s="558"/>
      <c r="H206" s="511"/>
    </row>
    <row r="207" spans="1:12">
      <c r="A207" s="512" t="s">
        <v>461</v>
      </c>
      <c r="B207" s="513" t="s">
        <v>100</v>
      </c>
      <c r="C207" s="518">
        <v>2</v>
      </c>
      <c r="D207" s="519">
        <f>'Actualizacion de precios'!C26</f>
        <v>3200</v>
      </c>
      <c r="E207" s="519">
        <f>G207-F207</f>
        <v>1021.8487394957983</v>
      </c>
      <c r="F207" s="519">
        <f>+C207*D207/1.19</f>
        <v>5378.1512605042017</v>
      </c>
      <c r="G207" s="554">
        <f>+C207*(D207)</f>
        <v>6400</v>
      </c>
      <c r="H207" s="511"/>
    </row>
    <row r="208" spans="1:12">
      <c r="A208" s="512" t="s">
        <v>472</v>
      </c>
      <c r="B208" s="513" t="s">
        <v>100</v>
      </c>
      <c r="C208" s="518">
        <v>1</v>
      </c>
      <c r="D208" s="500">
        <f>'Actualizacion de precios'!C38</f>
        <v>4693</v>
      </c>
      <c r="E208" s="519">
        <f>G208-F208</f>
        <v>749.30252100840335</v>
      </c>
      <c r="F208" s="519">
        <f>+C208*D208/1.19</f>
        <v>3943.6974789915967</v>
      </c>
      <c r="G208" s="554">
        <f>+C208*(D208)</f>
        <v>4693</v>
      </c>
      <c r="H208" s="511"/>
    </row>
    <row r="209" spans="1:12">
      <c r="A209" s="529" t="s">
        <v>464</v>
      </c>
      <c r="B209" s="471" t="s">
        <v>100</v>
      </c>
      <c r="C209" s="518">
        <v>1</v>
      </c>
      <c r="D209" s="597">
        <f>'Salarios y transporte'!C28</f>
        <v>301806.66222222219</v>
      </c>
      <c r="E209" s="520"/>
      <c r="F209" s="519">
        <f>+D209/C209</f>
        <v>301806.66222222219</v>
      </c>
      <c r="G209" s="554">
        <f>+D209/C209</f>
        <v>301806.66222222219</v>
      </c>
      <c r="H209" s="511"/>
    </row>
    <row r="210" spans="1:12">
      <c r="A210" s="393" t="s">
        <v>465</v>
      </c>
      <c r="B210" s="471"/>
      <c r="C210" s="518"/>
      <c r="D210" s="519"/>
      <c r="E210" s="520"/>
      <c r="F210" s="394">
        <f>SUM(F205:F209)</f>
        <v>1784569.2117256809</v>
      </c>
      <c r="G210" s="395">
        <f>SUM(G205:G209)</f>
        <v>2066294.0961313378</v>
      </c>
      <c r="H210" s="511"/>
      <c r="I210" s="550">
        <f>'ppto sistema septico'!V33</f>
        <v>0</v>
      </c>
      <c r="J210" s="540">
        <f>I210*(F205+F208+F207)</f>
        <v>0</v>
      </c>
      <c r="K210" s="540">
        <f>I210*(G205+G207+G208)</f>
        <v>0</v>
      </c>
      <c r="L210" s="490">
        <f>K210-J210</f>
        <v>0</v>
      </c>
    </row>
    <row r="211" spans="1:12">
      <c r="A211" s="529" t="s">
        <v>453</v>
      </c>
      <c r="B211" s="471" t="s">
        <v>467</v>
      </c>
      <c r="C211" s="514">
        <v>2</v>
      </c>
      <c r="D211" s="515">
        <f>'Salarios y transporte'!C2</f>
        <v>143542</v>
      </c>
      <c r="E211" s="516"/>
      <c r="F211" s="515">
        <f>+D211/C211</f>
        <v>71771</v>
      </c>
      <c r="G211" s="517">
        <f>+D211/C211</f>
        <v>71771</v>
      </c>
      <c r="H211" s="511"/>
    </row>
    <row r="212" spans="1:12">
      <c r="A212" s="512" t="s">
        <v>419</v>
      </c>
      <c r="B212" s="471" t="s">
        <v>420</v>
      </c>
      <c r="C212" s="472">
        <v>0.05</v>
      </c>
      <c r="D212" s="519">
        <f>+G211</f>
        <v>71771</v>
      </c>
      <c r="E212" s="520"/>
      <c r="F212" s="519">
        <f>+D212*C212</f>
        <v>3588.55</v>
      </c>
      <c r="G212" s="521">
        <f>+D212*C212</f>
        <v>3588.55</v>
      </c>
      <c r="H212" s="511"/>
    </row>
    <row r="213" spans="1:12" ht="13.5" thickBot="1">
      <c r="A213" s="396" t="s">
        <v>468</v>
      </c>
      <c r="B213" s="471"/>
      <c r="C213" s="472"/>
      <c r="D213" s="522"/>
      <c r="E213" s="523"/>
      <c r="F213" s="522">
        <f>SUM(F211:F212)</f>
        <v>75359.55</v>
      </c>
      <c r="G213" s="522">
        <f>SUM(G211:G212)</f>
        <v>75359.55</v>
      </c>
      <c r="H213" s="511"/>
    </row>
    <row r="214" spans="1:12" ht="14.25" thickTop="1" thickBot="1">
      <c r="A214" s="398" t="s">
        <v>454</v>
      </c>
      <c r="B214" s="524"/>
      <c r="C214" s="525"/>
      <c r="D214" s="526"/>
      <c r="E214" s="527"/>
      <c r="F214" s="380">
        <f>F210+F211+F212</f>
        <v>1859928.7617256809</v>
      </c>
      <c r="G214" s="381">
        <f>G210+G211+G212</f>
        <v>2141653.6461313376</v>
      </c>
      <c r="H214" s="511"/>
    </row>
    <row r="215" spans="1:12" ht="14.25" thickTop="1" thickBot="1">
      <c r="A215" s="393"/>
      <c r="B215" s="513"/>
      <c r="C215" s="518"/>
      <c r="D215" s="522"/>
      <c r="E215" s="523"/>
      <c r="F215" s="376"/>
      <c r="G215" s="407"/>
      <c r="H215" s="511"/>
    </row>
    <row r="216" spans="1:12" ht="69" customHeight="1" thickTop="1">
      <c r="A216" s="1308" t="s">
        <v>490</v>
      </c>
      <c r="B216" s="1309"/>
      <c r="C216" s="1309"/>
      <c r="D216" s="1309"/>
      <c r="E216" s="1309"/>
      <c r="F216" s="1309"/>
      <c r="G216" s="1310"/>
      <c r="H216" s="511"/>
    </row>
    <row r="217" spans="1:12" ht="76.5">
      <c r="A217" s="548" t="s">
        <v>491</v>
      </c>
      <c r="B217" s="549" t="s">
        <v>100</v>
      </c>
      <c r="C217" s="550">
        <v>1</v>
      </c>
      <c r="D217" s="551">
        <f>+'VALOR UNITARIO SS Y TG'!C10</f>
        <v>19019455.16236886</v>
      </c>
      <c r="E217" s="552">
        <f>G217-F217</f>
        <v>3036719.7318067923</v>
      </c>
      <c r="F217" s="552">
        <f>C217*(D217/1.19)</f>
        <v>15982735.430562068</v>
      </c>
      <c r="G217" s="553">
        <f>+C217*(D217)</f>
        <v>19019455.16236886</v>
      </c>
      <c r="H217" s="511"/>
      <c r="I217" s="559">
        <f>+'ppto sistema septico'!V34</f>
        <v>1</v>
      </c>
      <c r="J217" s="540">
        <f>I217*(F217+F220+F218)</f>
        <v>15995442.573419211</v>
      </c>
      <c r="K217" s="540">
        <f>I217*(G217+G220+G218)</f>
        <v>19034576.66236886</v>
      </c>
      <c r="L217" s="540">
        <f>K217-J217</f>
        <v>3039134.0889496487</v>
      </c>
    </row>
    <row r="218" spans="1:12">
      <c r="A218" s="529" t="s">
        <v>433</v>
      </c>
      <c r="B218" s="471" t="s">
        <v>97</v>
      </c>
      <c r="C218" s="518">
        <v>1</v>
      </c>
      <c r="D218" s="500">
        <f>'Actualizacion de precios'!C31</f>
        <v>15121.5</v>
      </c>
      <c r="E218" s="552">
        <f>G218-F218</f>
        <v>2414.3571428571431</v>
      </c>
      <c r="F218" s="552">
        <f>C218*(D218/1.19)</f>
        <v>12707.142857142857</v>
      </c>
      <c r="G218" s="554">
        <f>+C218*(D218)</f>
        <v>15121.5</v>
      </c>
      <c r="H218" s="511"/>
      <c r="I218" s="490"/>
    </row>
    <row r="219" spans="1:12">
      <c r="A219" s="512" t="s">
        <v>461</v>
      </c>
      <c r="B219" s="513" t="s">
        <v>100</v>
      </c>
      <c r="C219" s="518">
        <v>2</v>
      </c>
      <c r="D219" s="500">
        <v>0</v>
      </c>
      <c r="E219" s="552">
        <f>G219-F219</f>
        <v>0</v>
      </c>
      <c r="F219" s="552">
        <f>C219*(D219/1.19)</f>
        <v>0</v>
      </c>
      <c r="G219" s="554">
        <f>+C219*(D219)</f>
        <v>0</v>
      </c>
      <c r="H219" s="511"/>
    </row>
    <row r="220" spans="1:12">
      <c r="A220" s="512" t="s">
        <v>462</v>
      </c>
      <c r="B220" s="513" t="s">
        <v>100</v>
      </c>
      <c r="C220" s="518">
        <v>0</v>
      </c>
      <c r="D220" s="500">
        <f>'Actualizacion de precios'!C12</f>
        <v>12061</v>
      </c>
      <c r="E220" s="552">
        <f>G220-F220</f>
        <v>0</v>
      </c>
      <c r="F220" s="552">
        <f>C220*(D220/1.19)</f>
        <v>0</v>
      </c>
      <c r="G220" s="554">
        <f>+C220*(D220)</f>
        <v>0</v>
      </c>
      <c r="H220" s="511"/>
    </row>
    <row r="221" spans="1:12">
      <c r="A221" s="529" t="s">
        <v>463</v>
      </c>
      <c r="B221" s="471" t="s">
        <v>100</v>
      </c>
      <c r="C221" s="472">
        <v>2</v>
      </c>
      <c r="D221" s="500">
        <f>+'Actualizacion de precios'!C15</f>
        <v>0</v>
      </c>
      <c r="E221" s="552">
        <f>G221-F221</f>
        <v>0</v>
      </c>
      <c r="F221" s="552">
        <f>C221*(D221/1.19)</f>
        <v>0</v>
      </c>
      <c r="G221" s="554">
        <f>+C221*(D221)</f>
        <v>0</v>
      </c>
    </row>
    <row r="222" spans="1:12" ht="12.75" customHeight="1">
      <c r="A222" s="529" t="s">
        <v>464</v>
      </c>
      <c r="B222" s="471" t="s">
        <v>100</v>
      </c>
      <c r="C222" s="518">
        <v>1</v>
      </c>
      <c r="D222" s="597">
        <f>'Salarios y transporte'!H26</f>
        <v>1320630.1523809521</v>
      </c>
      <c r="E222" s="520"/>
      <c r="F222" s="519">
        <f>+D222/C222</f>
        <v>1320630.1523809521</v>
      </c>
      <c r="G222" s="554">
        <f>+D222/C222</f>
        <v>1320630.1523809521</v>
      </c>
      <c r="H222" s="511"/>
      <c r="I222" s="490"/>
    </row>
    <row r="223" spans="1:12" ht="12.75" customHeight="1">
      <c r="A223" s="529" t="s">
        <v>466</v>
      </c>
      <c r="B223" s="471" t="s">
        <v>467</v>
      </c>
      <c r="C223" s="514">
        <v>0.4</v>
      </c>
      <c r="D223" s="515">
        <f>+'Salarios y transporte'!C6</f>
        <v>293438</v>
      </c>
      <c r="E223" s="516"/>
      <c r="F223" s="515">
        <f>+D223/C223</f>
        <v>733595</v>
      </c>
      <c r="G223" s="517">
        <f>+D223/C223</f>
        <v>733595</v>
      </c>
      <c r="H223" s="511"/>
    </row>
    <row r="224" spans="1:12" ht="12.75" customHeight="1">
      <c r="A224" s="512" t="s">
        <v>419</v>
      </c>
      <c r="B224" s="471" t="s">
        <v>420</v>
      </c>
      <c r="C224" s="472">
        <v>0.05</v>
      </c>
      <c r="D224" s="519">
        <f>+G223</f>
        <v>733595</v>
      </c>
      <c r="E224" s="520"/>
      <c r="F224" s="519">
        <f>+D224*C224</f>
        <v>36679.75</v>
      </c>
      <c r="G224" s="521">
        <f>+D224*C224</f>
        <v>36679.75</v>
      </c>
      <c r="H224" s="511"/>
    </row>
    <row r="225" spans="1:12" ht="15.75" customHeight="1" thickBot="1">
      <c r="A225" s="529"/>
      <c r="B225" s="471"/>
      <c r="C225" s="472"/>
      <c r="D225" s="522"/>
      <c r="E225" s="523"/>
      <c r="F225" s="522"/>
      <c r="G225" s="378"/>
      <c r="H225" s="397"/>
      <c r="I225" s="470"/>
    </row>
    <row r="226" spans="1:12" ht="13.5" customHeight="1" thickTop="1" thickBot="1">
      <c r="A226" s="379" t="s">
        <v>492</v>
      </c>
      <c r="B226" s="524"/>
      <c r="C226" s="525"/>
      <c r="D226" s="526"/>
      <c r="E226" s="527"/>
      <c r="F226" s="380">
        <f>SUM(F217:F225)</f>
        <v>18086347.475800164</v>
      </c>
      <c r="G226" s="381">
        <f>SUM(G217:G225)</f>
        <v>21125481.564749811</v>
      </c>
      <c r="H226" s="511"/>
      <c r="I226" s="490"/>
    </row>
    <row r="227" spans="1:12" ht="13.5" customHeight="1" thickTop="1" thickBot="1">
      <c r="A227" s="382"/>
      <c r="B227" s="513"/>
      <c r="C227" s="518"/>
      <c r="D227" s="522"/>
      <c r="E227" s="523"/>
      <c r="F227" s="385"/>
      <c r="G227" s="392"/>
      <c r="H227" s="511"/>
      <c r="I227" s="490"/>
    </row>
    <row r="228" spans="1:12" ht="36.6" customHeight="1" thickTop="1">
      <c r="A228" s="1299" t="s">
        <v>493</v>
      </c>
      <c r="B228" s="1300"/>
      <c r="C228" s="1300"/>
      <c r="D228" s="1300"/>
      <c r="E228" s="1300"/>
      <c r="F228" s="1300"/>
      <c r="G228" s="1301"/>
      <c r="H228" s="511"/>
    </row>
    <row r="229" spans="1:12" ht="38.25">
      <c r="A229" s="548" t="s">
        <v>494</v>
      </c>
      <c r="B229" s="549" t="s">
        <v>100</v>
      </c>
      <c r="C229" s="550">
        <v>1</v>
      </c>
      <c r="D229" s="551">
        <f>'VALOR UNITARIO SS Y TG'!C24</f>
        <v>2132791.2380322758</v>
      </c>
      <c r="E229" s="552">
        <f>G229-F229</f>
        <v>340529.6934673381</v>
      </c>
      <c r="F229" s="552">
        <f>C229*(D229/1.19)</f>
        <v>1792261.5445649377</v>
      </c>
      <c r="G229" s="553">
        <f>+C229*(D229)</f>
        <v>2132791.2380322758</v>
      </c>
      <c r="H229" s="511"/>
    </row>
    <row r="230" spans="1:12">
      <c r="A230" s="548"/>
      <c r="B230" s="549"/>
      <c r="C230" s="550"/>
      <c r="D230" s="552"/>
      <c r="E230" s="552"/>
      <c r="F230" s="552"/>
      <c r="G230" s="558"/>
      <c r="H230" s="511"/>
    </row>
    <row r="231" spans="1:12">
      <c r="A231" s="512" t="s">
        <v>461</v>
      </c>
      <c r="B231" s="513" t="s">
        <v>100</v>
      </c>
      <c r="C231" s="518">
        <v>2</v>
      </c>
      <c r="D231" s="519">
        <f>'Actualizacion de precios'!C26</f>
        <v>3200</v>
      </c>
      <c r="E231" s="519">
        <f>G231-F231</f>
        <v>1021.8487394957983</v>
      </c>
      <c r="F231" s="519">
        <f>+C231*D231/1.19</f>
        <v>5378.1512605042017</v>
      </c>
      <c r="G231" s="554">
        <f>+C231*(D231)</f>
        <v>6400</v>
      </c>
      <c r="H231" s="511"/>
    </row>
    <row r="232" spans="1:12">
      <c r="A232" s="512" t="s">
        <v>472</v>
      </c>
      <c r="B232" s="513" t="s">
        <v>100</v>
      </c>
      <c r="C232" s="518">
        <v>1</v>
      </c>
      <c r="D232" s="500">
        <f>'Actualizacion de precios'!C38</f>
        <v>4693</v>
      </c>
      <c r="E232" s="519">
        <f>G232-F232</f>
        <v>749.30252100840335</v>
      </c>
      <c r="F232" s="519">
        <f>+C232*D232/1.19</f>
        <v>3943.6974789915967</v>
      </c>
      <c r="G232" s="554">
        <f>+C232*(D232)</f>
        <v>4693</v>
      </c>
      <c r="H232" s="511"/>
    </row>
    <row r="233" spans="1:12">
      <c r="A233" s="529" t="s">
        <v>464</v>
      </c>
      <c r="B233" s="471" t="s">
        <v>100</v>
      </c>
      <c r="C233" s="518">
        <v>1</v>
      </c>
      <c r="D233" s="597">
        <f>'Salarios y transporte'!C28</f>
        <v>301806.66222222219</v>
      </c>
      <c r="E233" s="520"/>
      <c r="F233" s="519">
        <f>+D233/C233</f>
        <v>301806.66222222219</v>
      </c>
      <c r="G233" s="554">
        <f>+D233/C233</f>
        <v>301806.66222222219</v>
      </c>
      <c r="H233" s="511"/>
    </row>
    <row r="234" spans="1:12">
      <c r="A234" s="393" t="s">
        <v>465</v>
      </c>
      <c r="B234" s="471"/>
      <c r="C234" s="518"/>
      <c r="D234" s="519"/>
      <c r="E234" s="520"/>
      <c r="F234" s="394">
        <f>SUM(F229:F233)</f>
        <v>2103390.0555266561</v>
      </c>
      <c r="G234" s="395">
        <f>SUM(G229:G233)</f>
        <v>2445690.9002544982</v>
      </c>
      <c r="H234" s="511"/>
      <c r="I234" s="550">
        <f>'ppto sistema septico'!V35</f>
        <v>1</v>
      </c>
      <c r="J234" s="540">
        <f>I234*(F229+F232+F231)</f>
        <v>1801583.3933044337</v>
      </c>
      <c r="K234" s="540">
        <f>I234*(G229+G231+G232)</f>
        <v>2143884.2380322758</v>
      </c>
      <c r="L234" s="490">
        <f>K234-J234</f>
        <v>342300.84472784214</v>
      </c>
    </row>
    <row r="235" spans="1:12">
      <c r="A235" s="529" t="s">
        <v>453</v>
      </c>
      <c r="B235" s="471" t="s">
        <v>467</v>
      </c>
      <c r="C235" s="514">
        <v>2</v>
      </c>
      <c r="D235" s="515">
        <f>'Salarios y transporte'!C2</f>
        <v>143542</v>
      </c>
      <c r="E235" s="516"/>
      <c r="F235" s="515">
        <f>+D235/C235</f>
        <v>71771</v>
      </c>
      <c r="G235" s="517">
        <f>+D235/C235</f>
        <v>71771</v>
      </c>
      <c r="H235" s="511"/>
    </row>
    <row r="236" spans="1:12">
      <c r="A236" s="512" t="s">
        <v>419</v>
      </c>
      <c r="B236" s="471" t="s">
        <v>420</v>
      </c>
      <c r="C236" s="472">
        <v>0.05</v>
      </c>
      <c r="D236" s="519">
        <f>+G235</f>
        <v>71771</v>
      </c>
      <c r="E236" s="520"/>
      <c r="F236" s="519">
        <f>+D236*C236</f>
        <v>3588.55</v>
      </c>
      <c r="G236" s="521">
        <f>+D236*C236</f>
        <v>3588.55</v>
      </c>
      <c r="H236" s="511"/>
    </row>
    <row r="237" spans="1:12" ht="13.5" thickBot="1">
      <c r="A237" s="396" t="s">
        <v>468</v>
      </c>
      <c r="B237" s="471"/>
      <c r="C237" s="472"/>
      <c r="D237" s="522"/>
      <c r="E237" s="523"/>
      <c r="F237" s="522">
        <f>SUM(F235:F236)</f>
        <v>75359.55</v>
      </c>
      <c r="G237" s="522">
        <f>SUM(G235:G236)</f>
        <v>75359.55</v>
      </c>
      <c r="H237" s="511"/>
    </row>
    <row r="238" spans="1:12" ht="14.25" thickTop="1" thickBot="1">
      <c r="A238" s="398" t="s">
        <v>454</v>
      </c>
      <c r="B238" s="524"/>
      <c r="C238" s="525"/>
      <c r="D238" s="526"/>
      <c r="E238" s="527"/>
      <c r="F238" s="380">
        <f>F234+F235+F236</f>
        <v>2178749.6055266559</v>
      </c>
      <c r="G238" s="381">
        <f>G234+G235+G236</f>
        <v>2521050.450254498</v>
      </c>
      <c r="H238" s="511"/>
    </row>
    <row r="239" spans="1:12" ht="93" customHeight="1" thickTop="1">
      <c r="A239" s="1308" t="s">
        <v>495</v>
      </c>
      <c r="B239" s="1309"/>
      <c r="C239" s="1309"/>
      <c r="D239" s="1309"/>
      <c r="E239" s="1309"/>
      <c r="F239" s="1309"/>
      <c r="G239" s="1310"/>
      <c r="H239" s="511"/>
      <c r="I239" s="490"/>
    </row>
    <row r="240" spans="1:12" ht="71.099999999999994" customHeight="1">
      <c r="A240" s="548" t="s">
        <v>496</v>
      </c>
      <c r="B240" s="549" t="s">
        <v>100</v>
      </c>
      <c r="C240" s="550">
        <v>1</v>
      </c>
      <c r="D240" s="551">
        <f>+'VALOR UNITARIO SS Y TG'!C11</f>
        <v>22015000</v>
      </c>
      <c r="E240" s="552">
        <f>G240-F240</f>
        <v>3515000</v>
      </c>
      <c r="F240" s="552">
        <f>C240*(D240/1.19)</f>
        <v>18500000</v>
      </c>
      <c r="G240" s="553">
        <f>+C240*(D240)</f>
        <v>22015000</v>
      </c>
      <c r="H240" s="511"/>
      <c r="I240" s="559">
        <f>+'ppto sistema septico'!V36</f>
        <v>0</v>
      </c>
      <c r="J240" s="540">
        <f>I240*(F240+F243+F241)</f>
        <v>0</v>
      </c>
      <c r="K240" s="540">
        <f>I240*(G240+G243+G241)</f>
        <v>0</v>
      </c>
      <c r="L240" s="490">
        <f>K240-J240</f>
        <v>0</v>
      </c>
    </row>
    <row r="241" spans="1:9" ht="13.5" customHeight="1">
      <c r="A241" s="529" t="s">
        <v>433</v>
      </c>
      <c r="B241" s="471" t="s">
        <v>97</v>
      </c>
      <c r="C241" s="518">
        <v>1</v>
      </c>
      <c r="D241" s="587">
        <f>'Actualizacion de precios'!C31</f>
        <v>15121.5</v>
      </c>
      <c r="E241" s="552">
        <f>G241-F241</f>
        <v>2414.3571428571431</v>
      </c>
      <c r="F241" s="552">
        <f>C241*(D241/1.19)</f>
        <v>12707.142857142857</v>
      </c>
      <c r="G241" s="558">
        <f>+C241*(D241)</f>
        <v>15121.5</v>
      </c>
      <c r="H241" s="511"/>
      <c r="I241" s="490"/>
    </row>
    <row r="242" spans="1:9" ht="13.5" customHeight="1">
      <c r="A242" s="512" t="s">
        <v>461</v>
      </c>
      <c r="B242" s="513" t="s">
        <v>100</v>
      </c>
      <c r="C242" s="518">
        <v>2</v>
      </c>
      <c r="D242" s="500">
        <v>0</v>
      </c>
      <c r="E242" s="552">
        <f>G242-F242</f>
        <v>0</v>
      </c>
      <c r="F242" s="552">
        <f>C242*(D242/1.19)</f>
        <v>0</v>
      </c>
      <c r="G242" s="558">
        <f>+C242*(D242)</f>
        <v>0</v>
      </c>
      <c r="H242" s="511"/>
      <c r="I242" s="490"/>
    </row>
    <row r="243" spans="1:9" ht="13.5" customHeight="1">
      <c r="A243" s="512" t="s">
        <v>462</v>
      </c>
      <c r="B243" s="513" t="s">
        <v>100</v>
      </c>
      <c r="C243" s="518">
        <v>0</v>
      </c>
      <c r="D243" s="500">
        <f>'Actualizacion de precios'!C12</f>
        <v>12061</v>
      </c>
      <c r="E243" s="552">
        <f>G243-F243</f>
        <v>0</v>
      </c>
      <c r="F243" s="552">
        <f>C243*(D243/1.19)</f>
        <v>0</v>
      </c>
      <c r="G243" s="558">
        <f>+C243*(D243)</f>
        <v>0</v>
      </c>
      <c r="H243" s="511"/>
      <c r="I243" s="490"/>
    </row>
    <row r="244" spans="1:9" ht="13.5" customHeight="1">
      <c r="A244" s="529" t="s">
        <v>463</v>
      </c>
      <c r="B244" s="471" t="s">
        <v>100</v>
      </c>
      <c r="C244" s="472">
        <v>2</v>
      </c>
      <c r="D244" s="500">
        <f>+'Actualizacion de precios'!C15</f>
        <v>0</v>
      </c>
      <c r="E244" s="552">
        <f>G244-F244</f>
        <v>0</v>
      </c>
      <c r="F244" s="552">
        <f>C244*(D244/1.19)</f>
        <v>0</v>
      </c>
      <c r="G244" s="558">
        <f>+C244*(D244)</f>
        <v>0</v>
      </c>
      <c r="H244" s="511"/>
      <c r="I244" s="490"/>
    </row>
    <row r="245" spans="1:9" ht="13.5" customHeight="1">
      <c r="A245" s="529" t="s">
        <v>464</v>
      </c>
      <c r="B245" s="471" t="s">
        <v>100</v>
      </c>
      <c r="C245" s="518">
        <v>1</v>
      </c>
      <c r="D245" s="597" t="str">
        <f>'Salarios y transporte'!I26</f>
        <v>0</v>
      </c>
      <c r="E245" s="520"/>
      <c r="F245" s="519">
        <f>+D245/C245</f>
        <v>0</v>
      </c>
      <c r="G245" s="554">
        <f>+D245/C245</f>
        <v>0</v>
      </c>
      <c r="H245" s="511"/>
      <c r="I245" s="490"/>
    </row>
    <row r="246" spans="1:9" ht="13.5" customHeight="1">
      <c r="A246" s="529" t="s">
        <v>466</v>
      </c>
      <c r="B246" s="471" t="s">
        <v>467</v>
      </c>
      <c r="C246" s="514">
        <v>0.3</v>
      </c>
      <c r="D246" s="515">
        <f>+'Salarios y transporte'!C6</f>
        <v>293438</v>
      </c>
      <c r="E246" s="516"/>
      <c r="F246" s="515">
        <f>+D246/C246</f>
        <v>978126.66666666674</v>
      </c>
      <c r="G246" s="517">
        <f>+D246/C246</f>
        <v>978126.66666666674</v>
      </c>
      <c r="H246" s="511"/>
      <c r="I246" s="490"/>
    </row>
    <row r="247" spans="1:9" ht="13.5" customHeight="1">
      <c r="A247" s="512" t="s">
        <v>419</v>
      </c>
      <c r="B247" s="471" t="s">
        <v>420</v>
      </c>
      <c r="C247" s="472">
        <v>0.05</v>
      </c>
      <c r="D247" s="519">
        <f>+G246</f>
        <v>978126.66666666674</v>
      </c>
      <c r="E247" s="520"/>
      <c r="F247" s="519">
        <f>+D247*C247</f>
        <v>48906.333333333343</v>
      </c>
      <c r="G247" s="521">
        <f>+D247*C247</f>
        <v>48906.333333333343</v>
      </c>
      <c r="H247" s="511"/>
      <c r="I247" s="490"/>
    </row>
    <row r="248" spans="1:9" ht="13.5" customHeight="1" thickBot="1">
      <c r="A248" s="529"/>
      <c r="B248" s="471"/>
      <c r="C248" s="472"/>
      <c r="D248" s="522"/>
      <c r="E248" s="523"/>
      <c r="F248" s="522"/>
      <c r="G248" s="378"/>
      <c r="H248" s="511"/>
      <c r="I248" s="490"/>
    </row>
    <row r="249" spans="1:9" ht="13.5" customHeight="1" thickTop="1" thickBot="1">
      <c r="A249" s="379" t="s">
        <v>492</v>
      </c>
      <c r="B249" s="524"/>
      <c r="C249" s="525"/>
      <c r="D249" s="526"/>
      <c r="E249" s="527"/>
      <c r="F249" s="380">
        <f>SUM(F240:F248)</f>
        <v>19539740.142857142</v>
      </c>
      <c r="G249" s="381">
        <f>SUM(G240:G248)</f>
        <v>23057154.5</v>
      </c>
      <c r="H249" s="511"/>
      <c r="I249" s="490"/>
    </row>
    <row r="250" spans="1:9" ht="13.5" customHeight="1" thickTop="1" thickBot="1">
      <c r="A250" s="382"/>
      <c r="B250" s="513"/>
      <c r="C250" s="518"/>
      <c r="D250" s="522"/>
      <c r="E250" s="523"/>
      <c r="F250" s="385"/>
      <c r="G250" s="392"/>
      <c r="H250" s="511"/>
      <c r="I250" s="490"/>
    </row>
    <row r="251" spans="1:9" ht="36.6" customHeight="1" thickTop="1">
      <c r="A251" s="1299" t="s">
        <v>497</v>
      </c>
      <c r="B251" s="1300"/>
      <c r="C251" s="1300"/>
      <c r="D251" s="1300"/>
      <c r="E251" s="1300"/>
      <c r="F251" s="1300"/>
      <c r="G251" s="1301"/>
      <c r="H251" s="511"/>
    </row>
    <row r="252" spans="1:9" ht="38.25">
      <c r="A252" s="548" t="s">
        <v>498</v>
      </c>
      <c r="B252" s="549" t="s">
        <v>100</v>
      </c>
      <c r="C252" s="550">
        <v>1</v>
      </c>
      <c r="D252" s="551">
        <f>'VALOR UNITARIO SS Y TG'!C25</f>
        <v>2117419.6034324421</v>
      </c>
      <c r="E252" s="552">
        <f>G252-F252</f>
        <v>338075.39886736451</v>
      </c>
      <c r="F252" s="552">
        <f>C252*(D252/1.19)</f>
        <v>1779344.2045650776</v>
      </c>
      <c r="G252" s="553">
        <f>+C252*(D252)</f>
        <v>2117419.6034324421</v>
      </c>
      <c r="H252" s="511"/>
    </row>
    <row r="253" spans="1:9">
      <c r="A253" s="548"/>
      <c r="B253" s="549"/>
      <c r="C253" s="550"/>
      <c r="D253" s="552"/>
      <c r="E253" s="552"/>
      <c r="F253" s="552"/>
      <c r="G253" s="558"/>
      <c r="H253" s="511"/>
    </row>
    <row r="254" spans="1:9">
      <c r="A254" s="512" t="s">
        <v>461</v>
      </c>
      <c r="B254" s="513" t="s">
        <v>100</v>
      </c>
      <c r="C254" s="518">
        <v>2</v>
      </c>
      <c r="D254" s="519">
        <f>'Actualizacion de precios'!C26</f>
        <v>3200</v>
      </c>
      <c r="E254" s="519">
        <f>G254-F254</f>
        <v>1021.8487394957983</v>
      </c>
      <c r="F254" s="519">
        <f>+C254*D254/1.19</f>
        <v>5378.1512605042017</v>
      </c>
      <c r="G254" s="554">
        <f>+C254*(D254)</f>
        <v>6400</v>
      </c>
      <c r="H254" s="511"/>
    </row>
    <row r="255" spans="1:9">
      <c r="A255" s="512" t="s">
        <v>472</v>
      </c>
      <c r="B255" s="513" t="s">
        <v>100</v>
      </c>
      <c r="C255" s="518">
        <v>1</v>
      </c>
      <c r="D255" s="500">
        <f>'Actualizacion de precios'!C38</f>
        <v>4693</v>
      </c>
      <c r="E255" s="519">
        <f>G255-F255</f>
        <v>749.30252100840335</v>
      </c>
      <c r="F255" s="519">
        <f>+C255*D255/1.19</f>
        <v>3943.6974789915967</v>
      </c>
      <c r="G255" s="554">
        <f>+C255*(D255)</f>
        <v>4693</v>
      </c>
      <c r="H255" s="511"/>
    </row>
    <row r="256" spans="1:9">
      <c r="A256" s="529" t="s">
        <v>464</v>
      </c>
      <c r="B256" s="471" t="s">
        <v>100</v>
      </c>
      <c r="C256" s="518">
        <v>1</v>
      </c>
      <c r="D256" s="597">
        <f>'Salarios y transporte'!C28</f>
        <v>301806.66222222219</v>
      </c>
      <c r="E256" s="520"/>
      <c r="F256" s="519">
        <f>+D256/C256</f>
        <v>301806.66222222219</v>
      </c>
      <c r="G256" s="554">
        <f>+D256/C256</f>
        <v>301806.66222222219</v>
      </c>
      <c r="H256" s="511"/>
    </row>
    <row r="257" spans="1:12">
      <c r="A257" s="393" t="s">
        <v>465</v>
      </c>
      <c r="B257" s="471"/>
      <c r="C257" s="518"/>
      <c r="D257" s="519"/>
      <c r="E257" s="520"/>
      <c r="F257" s="394">
        <f>SUM(F252:F256)</f>
        <v>2090472.7155267957</v>
      </c>
      <c r="G257" s="395">
        <f>SUM(G252:G256)</f>
        <v>2430319.2656546645</v>
      </c>
      <c r="H257" s="511"/>
      <c r="I257" s="550">
        <f>'ppto sistema septico'!V37</f>
        <v>0</v>
      </c>
      <c r="J257" s="540">
        <f>I257*(F252+F255+F254)</f>
        <v>0</v>
      </c>
      <c r="K257" s="540">
        <f>I257*(G252+G254+G255)</f>
        <v>0</v>
      </c>
      <c r="L257" s="490">
        <f>K257-J257</f>
        <v>0</v>
      </c>
    </row>
    <row r="258" spans="1:12">
      <c r="A258" s="529" t="s">
        <v>453</v>
      </c>
      <c r="B258" s="471" t="s">
        <v>467</v>
      </c>
      <c r="C258" s="514">
        <v>2</v>
      </c>
      <c r="D258" s="515">
        <f>'Salarios y transporte'!C2</f>
        <v>143542</v>
      </c>
      <c r="E258" s="516"/>
      <c r="F258" s="515">
        <f>+D258/C258</f>
        <v>71771</v>
      </c>
      <c r="G258" s="517">
        <f>+D258/C258</f>
        <v>71771</v>
      </c>
      <c r="H258" s="511"/>
    </row>
    <row r="259" spans="1:12">
      <c r="A259" s="512" t="s">
        <v>419</v>
      </c>
      <c r="B259" s="471" t="s">
        <v>420</v>
      </c>
      <c r="C259" s="472">
        <v>0.05</v>
      </c>
      <c r="D259" s="519">
        <f>+G258</f>
        <v>71771</v>
      </c>
      <c r="E259" s="520"/>
      <c r="F259" s="519">
        <f>+D259*C259</f>
        <v>3588.55</v>
      </c>
      <c r="G259" s="521">
        <f>+D259*C259</f>
        <v>3588.55</v>
      </c>
      <c r="H259" s="511"/>
    </row>
    <row r="260" spans="1:12" ht="13.5" thickBot="1">
      <c r="A260" s="396" t="s">
        <v>468</v>
      </c>
      <c r="B260" s="471"/>
      <c r="C260" s="472"/>
      <c r="D260" s="522"/>
      <c r="E260" s="523"/>
      <c r="F260" s="522">
        <f>SUM(F258:F259)</f>
        <v>75359.55</v>
      </c>
      <c r="G260" s="522">
        <f>SUM(G258:G259)</f>
        <v>75359.55</v>
      </c>
      <c r="H260" s="511"/>
    </row>
    <row r="261" spans="1:12" ht="14.25" thickTop="1" thickBot="1">
      <c r="A261" s="398" t="s">
        <v>454</v>
      </c>
      <c r="B261" s="524"/>
      <c r="C261" s="525"/>
      <c r="D261" s="526"/>
      <c r="E261" s="527"/>
      <c r="F261" s="380">
        <f>F257+F258+F259</f>
        <v>2165832.2655267958</v>
      </c>
      <c r="G261" s="381">
        <f>G257+G258+G259</f>
        <v>2505678.8156546643</v>
      </c>
      <c r="H261" s="511"/>
    </row>
    <row r="262" spans="1:12" ht="13.5" customHeight="1" thickTop="1" thickBot="1">
      <c r="A262" s="382"/>
      <c r="B262" s="513"/>
      <c r="C262" s="518"/>
      <c r="D262" s="522"/>
      <c r="E262" s="523"/>
      <c r="F262" s="385"/>
      <c r="G262" s="392"/>
      <c r="H262" s="511"/>
      <c r="I262" s="490"/>
    </row>
    <row r="263" spans="1:12" ht="93" customHeight="1" thickTop="1">
      <c r="A263" s="1308" t="s">
        <v>499</v>
      </c>
      <c r="B263" s="1309"/>
      <c r="C263" s="1309"/>
      <c r="D263" s="1309"/>
      <c r="E263" s="1309"/>
      <c r="F263" s="1309"/>
      <c r="G263" s="1310"/>
      <c r="H263" s="511"/>
      <c r="I263" s="490"/>
    </row>
    <row r="264" spans="1:12" ht="85.5" customHeight="1">
      <c r="A264" s="548" t="s">
        <v>500</v>
      </c>
      <c r="B264" s="549" t="s">
        <v>100</v>
      </c>
      <c r="C264" s="550">
        <v>1</v>
      </c>
      <c r="D264" s="551">
        <f>+'VALOR UNITARIO SS Y TG'!C12</f>
        <v>25060551.662085772</v>
      </c>
      <c r="E264" s="552">
        <f>G264-F264</f>
        <v>4001264.5510893241</v>
      </c>
      <c r="F264" s="552">
        <f>C264*(D264/1.19)</f>
        <v>21059287.110996448</v>
      </c>
      <c r="G264" s="553">
        <f>+C264*(D264)</f>
        <v>25060551.662085772</v>
      </c>
      <c r="H264" s="511"/>
      <c r="I264" s="559">
        <f>+'ppto sistema septico'!V38</f>
        <v>0</v>
      </c>
      <c r="J264" s="540">
        <f>I264*(F264+F267)</f>
        <v>0</v>
      </c>
      <c r="K264" s="560">
        <f>I264*(G264+G267)</f>
        <v>0</v>
      </c>
      <c r="L264" s="490">
        <f>K264-J264</f>
        <v>0</v>
      </c>
    </row>
    <row r="265" spans="1:12" ht="13.5" customHeight="1">
      <c r="A265" s="529" t="s">
        <v>433</v>
      </c>
      <c r="B265" s="471" t="s">
        <v>97</v>
      </c>
      <c r="C265" s="518">
        <v>1</v>
      </c>
      <c r="D265" s="587">
        <f>'Actualizacion de precios'!C31</f>
        <v>15121.5</v>
      </c>
      <c r="E265" s="552">
        <f>G265-F265</f>
        <v>2414.3571428571431</v>
      </c>
      <c r="F265" s="552">
        <f>C265*(D265/1.19)</f>
        <v>12707.142857142857</v>
      </c>
      <c r="G265" s="558">
        <f>+C265*(D265)</f>
        <v>15121.5</v>
      </c>
      <c r="H265" s="511"/>
      <c r="I265" s="490"/>
    </row>
    <row r="266" spans="1:12" ht="13.5" customHeight="1">
      <c r="A266" s="512" t="s">
        <v>461</v>
      </c>
      <c r="B266" s="513" t="s">
        <v>100</v>
      </c>
      <c r="C266" s="518">
        <v>2</v>
      </c>
      <c r="D266" s="500">
        <v>0</v>
      </c>
      <c r="E266" s="552">
        <f>G266-F266</f>
        <v>0</v>
      </c>
      <c r="F266" s="552">
        <f>C266*(D266/1.19)</f>
        <v>0</v>
      </c>
      <c r="G266" s="558">
        <f>+C266*(D266)</f>
        <v>0</v>
      </c>
      <c r="H266" s="511"/>
      <c r="I266" s="490"/>
    </row>
    <row r="267" spans="1:12" ht="13.5" customHeight="1">
      <c r="A267" s="512" t="s">
        <v>462</v>
      </c>
      <c r="B267" s="513" t="s">
        <v>100</v>
      </c>
      <c r="C267" s="518">
        <v>0</v>
      </c>
      <c r="D267" s="500">
        <f>'Actualizacion de precios'!C12</f>
        <v>12061</v>
      </c>
      <c r="E267" s="552">
        <f>G267-F267</f>
        <v>0</v>
      </c>
      <c r="F267" s="552">
        <f>C267*(D267/1.19)</f>
        <v>0</v>
      </c>
      <c r="G267" s="558">
        <f>+C267*(D267)</f>
        <v>0</v>
      </c>
      <c r="H267" s="511"/>
      <c r="I267" s="490"/>
    </row>
    <row r="268" spans="1:12" ht="13.5" customHeight="1">
      <c r="A268" s="529" t="s">
        <v>463</v>
      </c>
      <c r="B268" s="471" t="s">
        <v>100</v>
      </c>
      <c r="C268" s="472">
        <v>2</v>
      </c>
      <c r="D268" s="500">
        <f>+'Actualizacion de precios'!C15</f>
        <v>0</v>
      </c>
      <c r="E268" s="552">
        <f>G268-F268</f>
        <v>0</v>
      </c>
      <c r="F268" s="552">
        <f>C268*(D268/1.19)</f>
        <v>0</v>
      </c>
      <c r="G268" s="558">
        <f>+C268*(D268)</f>
        <v>0</v>
      </c>
      <c r="H268" s="511"/>
      <c r="I268" s="490"/>
    </row>
    <row r="269" spans="1:12" ht="13.5" customHeight="1">
      <c r="A269" s="529" t="s">
        <v>464</v>
      </c>
      <c r="B269" s="471" t="s">
        <v>100</v>
      </c>
      <c r="C269" s="518">
        <v>1</v>
      </c>
      <c r="D269" s="597" t="str">
        <f>'Salarios y transporte'!J26</f>
        <v>0</v>
      </c>
      <c r="E269" s="520"/>
      <c r="F269" s="519">
        <f>+D269/C269</f>
        <v>0</v>
      </c>
      <c r="G269" s="554">
        <f>+D269/C269</f>
        <v>0</v>
      </c>
      <c r="H269" s="511"/>
      <c r="I269" s="490"/>
    </row>
    <row r="270" spans="1:12" ht="13.5" customHeight="1">
      <c r="A270" s="529" t="s">
        <v>466</v>
      </c>
      <c r="B270" s="471" t="s">
        <v>467</v>
      </c>
      <c r="C270" s="514">
        <v>0.3</v>
      </c>
      <c r="D270" s="515">
        <f>+'Salarios y transporte'!C6</f>
        <v>293438</v>
      </c>
      <c r="E270" s="516"/>
      <c r="F270" s="515">
        <f>+D270/C270</f>
        <v>978126.66666666674</v>
      </c>
      <c r="G270" s="517">
        <f>+D270/C270</f>
        <v>978126.66666666674</v>
      </c>
      <c r="H270" s="511"/>
      <c r="I270" s="490"/>
    </row>
    <row r="271" spans="1:12" ht="13.5" customHeight="1">
      <c r="A271" s="512" t="s">
        <v>419</v>
      </c>
      <c r="B271" s="471" t="s">
        <v>420</v>
      </c>
      <c r="C271" s="472">
        <v>0.05</v>
      </c>
      <c r="D271" s="519">
        <f>+G270</f>
        <v>978126.66666666674</v>
      </c>
      <c r="E271" s="520"/>
      <c r="F271" s="519">
        <f>+D271*C271</f>
        <v>48906.333333333343</v>
      </c>
      <c r="G271" s="521">
        <f>+D271*C271</f>
        <v>48906.333333333343</v>
      </c>
      <c r="H271" s="511"/>
      <c r="I271" s="490"/>
    </row>
    <row r="272" spans="1:12" ht="13.5" customHeight="1" thickBot="1">
      <c r="A272" s="529"/>
      <c r="B272" s="471"/>
      <c r="C272" s="472"/>
      <c r="D272" s="522"/>
      <c r="E272" s="523"/>
      <c r="F272" s="522"/>
      <c r="G272" s="378"/>
      <c r="H272" s="511"/>
      <c r="I272" s="490"/>
    </row>
    <row r="273" spans="1:12" ht="13.5" customHeight="1" thickTop="1" thickBot="1">
      <c r="A273" s="379" t="s">
        <v>492</v>
      </c>
      <c r="B273" s="524"/>
      <c r="C273" s="525"/>
      <c r="D273" s="526"/>
      <c r="E273" s="527"/>
      <c r="F273" s="380">
        <f>SUM(F264:F272)</f>
        <v>22099027.253853589</v>
      </c>
      <c r="G273" s="381">
        <f>SUM(G264:G272)</f>
        <v>26102706.162085772</v>
      </c>
      <c r="H273" s="511"/>
      <c r="I273" s="490"/>
    </row>
    <row r="274" spans="1:12" ht="13.5" customHeight="1" thickTop="1" thickBot="1">
      <c r="A274" s="382"/>
      <c r="B274" s="513"/>
      <c r="C274" s="518"/>
      <c r="D274" s="522"/>
      <c r="E274" s="523"/>
      <c r="F274" s="385"/>
      <c r="G274" s="603"/>
      <c r="H274" s="511"/>
      <c r="I274" s="490"/>
    </row>
    <row r="275" spans="1:12" ht="36.6" customHeight="1" thickTop="1">
      <c r="A275" s="1299" t="s">
        <v>501</v>
      </c>
      <c r="B275" s="1300"/>
      <c r="C275" s="1300"/>
      <c r="D275" s="1300"/>
      <c r="E275" s="1300"/>
      <c r="F275" s="1300"/>
      <c r="G275" s="1301"/>
      <c r="H275" s="511"/>
    </row>
    <row r="276" spans="1:12" ht="38.25">
      <c r="A276" s="548" t="s">
        <v>502</v>
      </c>
      <c r="B276" s="549" t="s">
        <v>100</v>
      </c>
      <c r="C276" s="550">
        <v>1</v>
      </c>
      <c r="D276" s="551">
        <f>'VALOR UNITARIO SS Y TG'!C26</f>
        <v>3586383.8091833587</v>
      </c>
      <c r="E276" s="552">
        <f>G276-F276</f>
        <v>572615.9023065865</v>
      </c>
      <c r="F276" s="552">
        <f>C276*(D276/1.19)</f>
        <v>3013767.9068767722</v>
      </c>
      <c r="G276" s="553">
        <f>+C276*(D276)</f>
        <v>3586383.8091833587</v>
      </c>
      <c r="H276" s="511"/>
    </row>
    <row r="277" spans="1:12">
      <c r="A277" s="548"/>
      <c r="B277" s="549"/>
      <c r="C277" s="550"/>
      <c r="D277" s="552"/>
      <c r="E277" s="552"/>
      <c r="F277" s="552"/>
      <c r="G277" s="558"/>
      <c r="H277" s="511"/>
    </row>
    <row r="278" spans="1:12">
      <c r="A278" s="512" t="s">
        <v>461</v>
      </c>
      <c r="B278" s="513" t="s">
        <v>100</v>
      </c>
      <c r="C278" s="518">
        <v>2</v>
      </c>
      <c r="D278" s="519">
        <f>'Actualizacion de precios'!C26</f>
        <v>3200</v>
      </c>
      <c r="E278" s="519">
        <f>G278-F278</f>
        <v>1021.8487394957983</v>
      </c>
      <c r="F278" s="519">
        <f>+C278*D278/1.19</f>
        <v>5378.1512605042017</v>
      </c>
      <c r="G278" s="554">
        <f>+C278*(D278)</f>
        <v>6400</v>
      </c>
      <c r="H278" s="511"/>
    </row>
    <row r="279" spans="1:12">
      <c r="A279" s="512" t="s">
        <v>472</v>
      </c>
      <c r="B279" s="513" t="s">
        <v>100</v>
      </c>
      <c r="C279" s="518">
        <v>1</v>
      </c>
      <c r="D279" s="500">
        <f>'Actualizacion de precios'!C38</f>
        <v>4693</v>
      </c>
      <c r="E279" s="519">
        <f>G279-F279</f>
        <v>749.30252100840335</v>
      </c>
      <c r="F279" s="519">
        <f>+C279*D279/1.19</f>
        <v>3943.6974789915967</v>
      </c>
      <c r="G279" s="554">
        <f>+C279*(D279)</f>
        <v>4693</v>
      </c>
      <c r="H279" s="511"/>
    </row>
    <row r="280" spans="1:12">
      <c r="A280" s="529" t="s">
        <v>464</v>
      </c>
      <c r="B280" s="471" t="s">
        <v>100</v>
      </c>
      <c r="C280" s="518">
        <v>1</v>
      </c>
      <c r="D280" s="597">
        <f>'Salarios y transporte'!C28</f>
        <v>301806.66222222219</v>
      </c>
      <c r="E280" s="520"/>
      <c r="F280" s="519">
        <f>+D280/C280</f>
        <v>301806.66222222219</v>
      </c>
      <c r="G280" s="554">
        <f>+D280/C280</f>
        <v>301806.66222222219</v>
      </c>
      <c r="H280" s="511"/>
    </row>
    <row r="281" spans="1:12">
      <c r="A281" s="393" t="s">
        <v>465</v>
      </c>
      <c r="B281" s="471"/>
      <c r="C281" s="518"/>
      <c r="D281" s="519"/>
      <c r="E281" s="520"/>
      <c r="F281" s="394">
        <f>SUM(F276:F280)</f>
        <v>3324896.4178384896</v>
      </c>
      <c r="G281" s="395">
        <f>SUM(G276:G280)</f>
        <v>3899283.4714055806</v>
      </c>
      <c r="H281" s="511"/>
    </row>
    <row r="282" spans="1:12">
      <c r="A282" s="529" t="s">
        <v>453</v>
      </c>
      <c r="B282" s="471" t="s">
        <v>467</v>
      </c>
      <c r="C282" s="514">
        <v>2</v>
      </c>
      <c r="D282" s="515">
        <f>'Salarios y transporte'!C2</f>
        <v>143542</v>
      </c>
      <c r="E282" s="516"/>
      <c r="F282" s="515">
        <f>+D282/C282</f>
        <v>71771</v>
      </c>
      <c r="G282" s="517">
        <f>+D282/C282</f>
        <v>71771</v>
      </c>
      <c r="H282" s="511"/>
      <c r="I282" s="550">
        <f>'ppto sistema septico'!V39</f>
        <v>0</v>
      </c>
      <c r="J282" s="540">
        <f>I282*(F276+F278+F279)</f>
        <v>0</v>
      </c>
      <c r="K282" s="540">
        <f>I282*(G276+G278+G279)</f>
        <v>0</v>
      </c>
      <c r="L282" s="490">
        <f>K282-J282</f>
        <v>0</v>
      </c>
    </row>
    <row r="283" spans="1:12">
      <c r="A283" s="512" t="s">
        <v>419</v>
      </c>
      <c r="B283" s="471" t="s">
        <v>420</v>
      </c>
      <c r="C283" s="472">
        <v>0.05</v>
      </c>
      <c r="D283" s="519">
        <f>+G282</f>
        <v>71771</v>
      </c>
      <c r="E283" s="520"/>
      <c r="F283" s="519">
        <f>+D283*C283</f>
        <v>3588.55</v>
      </c>
      <c r="G283" s="521">
        <f>+D283*C283</f>
        <v>3588.55</v>
      </c>
      <c r="H283" s="511"/>
    </row>
    <row r="284" spans="1:12" ht="13.5" thickBot="1">
      <c r="A284" s="396" t="s">
        <v>468</v>
      </c>
      <c r="B284" s="471"/>
      <c r="C284" s="472"/>
      <c r="D284" s="522"/>
      <c r="E284" s="523"/>
      <c r="F284" s="522">
        <f>SUM(F282:F283)</f>
        <v>75359.55</v>
      </c>
      <c r="G284" s="522">
        <f>SUM(G282:G283)</f>
        <v>75359.55</v>
      </c>
      <c r="H284" s="511"/>
    </row>
    <row r="285" spans="1:12" ht="14.25" thickTop="1" thickBot="1">
      <c r="A285" s="398" t="s">
        <v>454</v>
      </c>
      <c r="B285" s="524"/>
      <c r="C285" s="525"/>
      <c r="D285" s="526"/>
      <c r="E285" s="527"/>
      <c r="F285" s="380">
        <f>F281+F282+F283</f>
        <v>3400255.9678384895</v>
      </c>
      <c r="G285" s="381">
        <f>G281+G282+G283</f>
        <v>3974643.0214055805</v>
      </c>
      <c r="H285" s="511"/>
    </row>
    <row r="286" spans="1:12" ht="13.5" customHeight="1" thickTop="1" thickBot="1">
      <c r="A286" s="382"/>
      <c r="B286" s="513"/>
      <c r="C286" s="518"/>
      <c r="D286" s="522"/>
      <c r="E286" s="523"/>
      <c r="F286" s="385"/>
      <c r="G286" s="392"/>
      <c r="H286" s="511"/>
      <c r="K286" s="391"/>
    </row>
    <row r="287" spans="1:12" ht="33" customHeight="1" thickTop="1">
      <c r="A287" s="1308" t="s">
        <v>503</v>
      </c>
      <c r="B287" s="1309"/>
      <c r="C287" s="1309"/>
      <c r="D287" s="1309"/>
      <c r="E287" s="1309"/>
      <c r="F287" s="1309"/>
      <c r="G287" s="1310"/>
      <c r="H287" s="511"/>
      <c r="I287" s="490"/>
    </row>
    <row r="288" spans="1:12" ht="45.75" customHeight="1">
      <c r="A288" s="548" t="s">
        <v>504</v>
      </c>
      <c r="B288" s="549" t="s">
        <v>100</v>
      </c>
      <c r="C288" s="550">
        <v>1</v>
      </c>
      <c r="D288" s="551">
        <f>+'VALOR UNITARIO SS Y TG'!C13</f>
        <v>6707959.020237877</v>
      </c>
      <c r="E288" s="552">
        <f>G288-F288</f>
        <v>1071018.6670968039</v>
      </c>
      <c r="F288" s="552">
        <f>C288*(D288/1.19)</f>
        <v>5636940.3531410731</v>
      </c>
      <c r="G288" s="553">
        <f>+C288*(D288)</f>
        <v>6707959.020237877</v>
      </c>
      <c r="H288" s="511"/>
      <c r="I288" s="559">
        <f>'ppto sistema septico'!V40</f>
        <v>1</v>
      </c>
      <c r="J288" s="540">
        <f>I288*F288</f>
        <v>5636940.3531410731</v>
      </c>
      <c r="K288" s="540">
        <f>I288*G288</f>
        <v>6707959.020237877</v>
      </c>
      <c r="L288" s="490">
        <f>K288-J288</f>
        <v>1071018.6670968039</v>
      </c>
    </row>
    <row r="289" spans="1:12" ht="13.5" customHeight="1">
      <c r="A289" s="529" t="s">
        <v>464</v>
      </c>
      <c r="B289" s="471" t="s">
        <v>100</v>
      </c>
      <c r="C289" s="518">
        <v>1</v>
      </c>
      <c r="D289" s="597">
        <f>'Salarios y transporte'!C28</f>
        <v>301806.66222222219</v>
      </c>
      <c r="E289" s="520"/>
      <c r="F289" s="519">
        <f>+D289/C289</f>
        <v>301806.66222222219</v>
      </c>
      <c r="G289" s="554">
        <f>+D289/C289</f>
        <v>301806.66222222219</v>
      </c>
      <c r="H289" s="511"/>
      <c r="K289" s="490"/>
    </row>
    <row r="290" spans="1:12" ht="13.5" customHeight="1">
      <c r="A290" s="529" t="s">
        <v>505</v>
      </c>
      <c r="B290" s="471" t="s">
        <v>467</v>
      </c>
      <c r="C290" s="514">
        <v>1</v>
      </c>
      <c r="D290" s="515">
        <f>'Salarios y transporte'!C5</f>
        <v>218490</v>
      </c>
      <c r="E290" s="516"/>
      <c r="F290" s="515">
        <f>+D290/C290</f>
        <v>218490</v>
      </c>
      <c r="G290" s="517">
        <f>+D290/C290</f>
        <v>218490</v>
      </c>
      <c r="H290" s="511"/>
      <c r="K290" s="490"/>
    </row>
    <row r="291" spans="1:12" ht="13.5" customHeight="1">
      <c r="A291" s="512" t="s">
        <v>419</v>
      </c>
      <c r="B291" s="471" t="s">
        <v>420</v>
      </c>
      <c r="C291" s="472">
        <v>0.05</v>
      </c>
      <c r="D291" s="519">
        <f>+G290</f>
        <v>218490</v>
      </c>
      <c r="E291" s="520"/>
      <c r="F291" s="519">
        <f>+D291*C291</f>
        <v>10924.5</v>
      </c>
      <c r="G291" s="521">
        <f>+D291*C291</f>
        <v>10924.5</v>
      </c>
      <c r="H291" s="511"/>
      <c r="K291" s="490"/>
    </row>
    <row r="292" spans="1:12" ht="13.5" customHeight="1" thickBot="1">
      <c r="A292" s="529"/>
      <c r="B292" s="471"/>
      <c r="C292" s="472"/>
      <c r="D292" s="522"/>
      <c r="E292" s="523"/>
      <c r="F292" s="522"/>
      <c r="G292" s="378"/>
      <c r="H292" s="511"/>
      <c r="K292" s="490"/>
    </row>
    <row r="293" spans="1:12" ht="13.5" customHeight="1" thickTop="1" thickBot="1">
      <c r="A293" s="379" t="s">
        <v>492</v>
      </c>
      <c r="B293" s="524"/>
      <c r="C293" s="525"/>
      <c r="D293" s="526"/>
      <c r="E293" s="527"/>
      <c r="F293" s="380">
        <f>SUM(F288:F292)</f>
        <v>6168161.5153632956</v>
      </c>
      <c r="G293" s="381">
        <f>SUM(G288:G292)</f>
        <v>7239180.1824600995</v>
      </c>
      <c r="H293" s="511"/>
      <c r="K293" s="490"/>
    </row>
    <row r="294" spans="1:12" ht="13.5" customHeight="1" thickTop="1" thickBot="1">
      <c r="A294" s="382"/>
      <c r="B294" s="513"/>
      <c r="C294" s="518"/>
      <c r="D294" s="522"/>
      <c r="E294" s="523"/>
      <c r="F294" s="385"/>
      <c r="G294" s="392"/>
      <c r="H294" s="511"/>
      <c r="K294" s="391"/>
    </row>
    <row r="295" spans="1:12" ht="33.75" customHeight="1" thickTop="1">
      <c r="A295" s="1308" t="s">
        <v>506</v>
      </c>
      <c r="B295" s="1309"/>
      <c r="C295" s="1309"/>
      <c r="D295" s="1309"/>
      <c r="E295" s="1309"/>
      <c r="F295" s="1309"/>
      <c r="G295" s="1310"/>
      <c r="H295" s="511"/>
    </row>
    <row r="296" spans="1:12" ht="55.5" customHeight="1">
      <c r="A296" s="548" t="s">
        <v>507</v>
      </c>
      <c r="B296" s="549" t="s">
        <v>100</v>
      </c>
      <c r="C296" s="550">
        <v>1</v>
      </c>
      <c r="D296" s="551">
        <f>'VALOR UNITARIO SS Y TG'!C14</f>
        <v>6206081.0032600509</v>
      </c>
      <c r="E296" s="552">
        <f t="shared" ref="E296:E303" si="7">G296-F296</f>
        <v>990886.8828734532</v>
      </c>
      <c r="F296" s="552">
        <f t="shared" ref="F296:F302" si="8">C296*(D296/1.19)</f>
        <v>5215194.1203865977</v>
      </c>
      <c r="G296" s="553">
        <f t="shared" ref="G296:G303" si="9">+C296*(D296)</f>
        <v>6206081.0032600509</v>
      </c>
      <c r="H296" s="511"/>
      <c r="I296" s="559">
        <f>+'ppto sistema septico'!V41</f>
        <v>1</v>
      </c>
      <c r="J296" s="540">
        <f>I296*SUM(F296:F303)</f>
        <v>6135358.8555689408</v>
      </c>
      <c r="K296" s="540">
        <f>I296*SUM(G296:G303)</f>
        <v>7301077.0381270368</v>
      </c>
      <c r="L296" s="490">
        <f>K296-J296</f>
        <v>1165718.182558096</v>
      </c>
    </row>
    <row r="297" spans="1:12" ht="13.5" customHeight="1">
      <c r="A297" s="529" t="s">
        <v>508</v>
      </c>
      <c r="B297" s="471" t="s">
        <v>100</v>
      </c>
      <c r="C297" s="518">
        <v>1</v>
      </c>
      <c r="D297" s="500">
        <f>'Actualizacion de precios'!C52</f>
        <v>329900</v>
      </c>
      <c r="E297" s="552">
        <f t="shared" si="7"/>
        <v>52673.109243697487</v>
      </c>
      <c r="F297" s="552">
        <f t="shared" si="8"/>
        <v>277226.89075630251</v>
      </c>
      <c r="G297" s="558">
        <f t="shared" si="9"/>
        <v>329900</v>
      </c>
      <c r="H297" s="511"/>
    </row>
    <row r="298" spans="1:12" ht="13.5" customHeight="1">
      <c r="A298" s="512" t="s">
        <v>509</v>
      </c>
      <c r="B298" s="513" t="s">
        <v>100</v>
      </c>
      <c r="C298" s="518">
        <v>4</v>
      </c>
      <c r="D298" s="500">
        <f>+'Actualizacion de precios'!C45</f>
        <v>110344.02710609847</v>
      </c>
      <c r="E298" s="552">
        <f t="shared" si="7"/>
        <v>70471.815630785539</v>
      </c>
      <c r="F298" s="552">
        <f t="shared" si="8"/>
        <v>370904.29279360833</v>
      </c>
      <c r="G298" s="558">
        <f t="shared" si="9"/>
        <v>441376.10842439387</v>
      </c>
      <c r="H298" s="511"/>
      <c r="I298" s="511"/>
      <c r="J298" s="490"/>
      <c r="K298" s="490"/>
      <c r="L298" s="490"/>
    </row>
    <row r="299" spans="1:12" s="403" customFormat="1" ht="13.5" customHeight="1">
      <c r="A299" s="512" t="s">
        <v>510</v>
      </c>
      <c r="B299" s="513" t="s">
        <v>91</v>
      </c>
      <c r="C299" s="518">
        <f>1*1.2*0.2</f>
        <v>0.24</v>
      </c>
      <c r="D299" s="500">
        <f>+'Actualizacion de precios'!C46</f>
        <v>1052024.1037294716</v>
      </c>
      <c r="E299" s="552">
        <f t="shared" si="7"/>
        <v>40312.856411818386</v>
      </c>
      <c r="F299" s="552">
        <f t="shared" si="8"/>
        <v>212172.92848325477</v>
      </c>
      <c r="G299" s="558">
        <f t="shared" si="9"/>
        <v>252485.78489507316</v>
      </c>
      <c r="H299" s="401"/>
      <c r="I299" s="401"/>
      <c r="J299" s="402"/>
      <c r="K299" s="402"/>
      <c r="L299" s="402"/>
    </row>
    <row r="300" spans="1:12" ht="13.5" customHeight="1">
      <c r="A300" s="529" t="s">
        <v>511</v>
      </c>
      <c r="B300" s="471" t="s">
        <v>100</v>
      </c>
      <c r="C300" s="472">
        <v>0.5</v>
      </c>
      <c r="D300" s="500">
        <f>+'Actualizacion de precios'!C36</f>
        <v>38328.85321216</v>
      </c>
      <c r="E300" s="552">
        <f t="shared" si="7"/>
        <v>3059.8664329035291</v>
      </c>
      <c r="F300" s="552">
        <f t="shared" si="8"/>
        <v>16104.560173176471</v>
      </c>
      <c r="G300" s="558">
        <f t="shared" si="9"/>
        <v>19164.42660608</v>
      </c>
      <c r="H300" s="511"/>
      <c r="I300" s="511"/>
      <c r="J300" s="490"/>
      <c r="K300" s="490"/>
      <c r="L300" s="490"/>
    </row>
    <row r="301" spans="1:12" ht="13.5" customHeight="1">
      <c r="A301" s="529" t="s">
        <v>512</v>
      </c>
      <c r="B301" s="471" t="s">
        <v>100</v>
      </c>
      <c r="C301" s="472">
        <v>1</v>
      </c>
      <c r="D301" s="500">
        <f>+'Actualizacion de precios'!C13</f>
        <v>19980</v>
      </c>
      <c r="E301" s="552">
        <f t="shared" si="7"/>
        <v>3190.0840336134461</v>
      </c>
      <c r="F301" s="552">
        <f t="shared" si="8"/>
        <v>16789.915966386554</v>
      </c>
      <c r="G301" s="558">
        <f t="shared" si="9"/>
        <v>19980</v>
      </c>
      <c r="H301" s="511"/>
      <c r="I301" s="511"/>
      <c r="J301" s="490"/>
      <c r="K301" s="490"/>
      <c r="L301" s="490"/>
    </row>
    <row r="302" spans="1:12" ht="13.5" customHeight="1">
      <c r="A302" s="529" t="s">
        <v>513</v>
      </c>
      <c r="B302" s="471" t="s">
        <v>100</v>
      </c>
      <c r="C302" s="472">
        <v>1</v>
      </c>
      <c r="D302" s="500">
        <f>+'Actualizacion de precios'!C35</f>
        <v>26582.714941439997</v>
      </c>
      <c r="E302" s="552">
        <f t="shared" si="7"/>
        <v>4244.2990242635278</v>
      </c>
      <c r="F302" s="552">
        <f t="shared" si="8"/>
        <v>22338.41591717647</v>
      </c>
      <c r="G302" s="558">
        <f t="shared" si="9"/>
        <v>26582.714941439997</v>
      </c>
      <c r="H302" s="511"/>
      <c r="I302" s="511"/>
      <c r="J302" s="490"/>
      <c r="K302" s="490"/>
      <c r="L302" s="490"/>
    </row>
    <row r="303" spans="1:12">
      <c r="A303" s="529" t="s">
        <v>437</v>
      </c>
      <c r="B303" s="471" t="s">
        <v>438</v>
      </c>
      <c r="C303" s="530">
        <v>0.5</v>
      </c>
      <c r="D303" s="500">
        <f>'Actualizacion de precios'!C19</f>
        <v>11014</v>
      </c>
      <c r="E303" s="519">
        <f t="shared" si="7"/>
        <v>879.2689075630251</v>
      </c>
      <c r="F303" s="519">
        <f>C303*(D303/1.19)</f>
        <v>4627.7310924369749</v>
      </c>
      <c r="G303" s="561">
        <f t="shared" si="9"/>
        <v>5507</v>
      </c>
      <c r="H303" s="511"/>
      <c r="K303" s="490"/>
    </row>
    <row r="304" spans="1:12" ht="13.5" customHeight="1">
      <c r="A304" s="529" t="s">
        <v>464</v>
      </c>
      <c r="B304" s="471" t="s">
        <v>100</v>
      </c>
      <c r="C304" s="518">
        <v>1</v>
      </c>
      <c r="D304" s="597">
        <f>'Salarios y transporte'!C28</f>
        <v>301806.66222222219</v>
      </c>
      <c r="E304" s="520"/>
      <c r="F304" s="519">
        <f>+D304/C304</f>
        <v>301806.66222222219</v>
      </c>
      <c r="G304" s="554">
        <f>+D304/C304</f>
        <v>301806.66222222219</v>
      </c>
      <c r="H304" s="511"/>
      <c r="I304" s="511"/>
      <c r="J304" s="490"/>
      <c r="K304" s="490"/>
      <c r="L304" s="490"/>
    </row>
    <row r="305" spans="1:17" ht="13.5" customHeight="1">
      <c r="A305" s="529" t="s">
        <v>466</v>
      </c>
      <c r="B305" s="471" t="s">
        <v>467</v>
      </c>
      <c r="C305" s="514">
        <v>0.5</v>
      </c>
      <c r="D305" s="515">
        <f>+'Salarios y transporte'!C6</f>
        <v>293438</v>
      </c>
      <c r="E305" s="516"/>
      <c r="F305" s="515">
        <f>+D305/C305</f>
        <v>586876</v>
      </c>
      <c r="G305" s="517">
        <f>+D305/C305</f>
        <v>586876</v>
      </c>
      <c r="H305" s="511"/>
      <c r="K305" s="490"/>
    </row>
    <row r="306" spans="1:17" ht="13.5" customHeight="1">
      <c r="A306" s="512" t="s">
        <v>419</v>
      </c>
      <c r="B306" s="471" t="s">
        <v>420</v>
      </c>
      <c r="C306" s="472">
        <v>0.05</v>
      </c>
      <c r="D306" s="519">
        <f>+G305</f>
        <v>586876</v>
      </c>
      <c r="E306" s="520"/>
      <c r="F306" s="519">
        <f>+D306*C306</f>
        <v>29343.800000000003</v>
      </c>
      <c r="G306" s="521">
        <f>+D306*C306</f>
        <v>29343.800000000003</v>
      </c>
      <c r="H306" s="511"/>
      <c r="K306" s="490"/>
    </row>
    <row r="307" spans="1:17" ht="13.5" customHeight="1" thickBot="1">
      <c r="A307" s="529"/>
      <c r="B307" s="471"/>
      <c r="C307" s="472"/>
      <c r="D307" s="522"/>
      <c r="E307" s="523"/>
      <c r="F307" s="522"/>
      <c r="G307" s="378"/>
      <c r="H307" s="511"/>
      <c r="K307" s="490"/>
    </row>
    <row r="308" spans="1:17" ht="13.5" customHeight="1" thickTop="1" thickBot="1">
      <c r="A308" s="379" t="s">
        <v>492</v>
      </c>
      <c r="B308" s="524"/>
      <c r="C308" s="525"/>
      <c r="D308" s="526"/>
      <c r="E308" s="527"/>
      <c r="F308" s="380">
        <f>SUM(F296:F307)</f>
        <v>7053385.317791163</v>
      </c>
      <c r="G308" s="381">
        <f>SUM(G296:G307)</f>
        <v>8219103.500349259</v>
      </c>
      <c r="H308" s="511"/>
      <c r="K308" s="490"/>
    </row>
    <row r="309" spans="1:17" ht="13.5" customHeight="1" thickTop="1">
      <c r="A309" s="382"/>
      <c r="B309" s="513"/>
      <c r="C309" s="518"/>
      <c r="D309" s="522"/>
      <c r="E309" s="523"/>
      <c r="F309" s="385"/>
      <c r="G309" s="392"/>
      <c r="H309" s="511"/>
      <c r="K309" s="490"/>
    </row>
    <row r="310" spans="1:17" ht="12.75" customHeight="1" thickBot="1">
      <c r="A310" s="537"/>
      <c r="B310" s="471"/>
      <c r="C310" s="518"/>
      <c r="D310" s="522"/>
      <c r="E310" s="523"/>
      <c r="F310" s="522"/>
      <c r="H310" s="511"/>
      <c r="K310" s="490"/>
    </row>
    <row r="311" spans="1:17" ht="25.5" customHeight="1" thickTop="1">
      <c r="A311" s="1302" t="s">
        <v>514</v>
      </c>
      <c r="B311" s="1303"/>
      <c r="C311" s="1303"/>
      <c r="D311" s="1303"/>
      <c r="E311" s="1303"/>
      <c r="F311" s="1303"/>
      <c r="G311" s="1304"/>
      <c r="H311" s="511"/>
      <c r="K311" s="391"/>
    </row>
    <row r="312" spans="1:17">
      <c r="A312" s="562" t="s">
        <v>515</v>
      </c>
      <c r="B312" s="471" t="s">
        <v>100</v>
      </c>
      <c r="C312" s="530">
        <v>1</v>
      </c>
      <c r="D312" s="577">
        <f>+'Actualizacion de precios'!C34</f>
        <v>64541</v>
      </c>
      <c r="E312" s="500">
        <f>G312-F312</f>
        <v>10304.865546218483</v>
      </c>
      <c r="F312" s="500">
        <f>C312*(D312/1.19)</f>
        <v>54236.134453781517</v>
      </c>
      <c r="G312" s="578">
        <f t="shared" ref="G312:G320" si="10">+C312*(D312)</f>
        <v>64541</v>
      </c>
      <c r="H312" s="511"/>
      <c r="I312" s="559">
        <f>'ppto sistema septico'!V42</f>
        <v>29</v>
      </c>
      <c r="J312" s="540">
        <f>I312*(F312+F315+F316+F317+F318+F319)</f>
        <v>2578655.630252101</v>
      </c>
      <c r="K312" s="540">
        <f>I312*(G312+G315+G316+G317+G318+G319)</f>
        <v>3068600.2</v>
      </c>
      <c r="L312" s="490">
        <f>K312-J312</f>
        <v>489944.56974789919</v>
      </c>
    </row>
    <row r="313" spans="1:17">
      <c r="A313" s="529" t="s">
        <v>435</v>
      </c>
      <c r="B313" s="471" t="s">
        <v>436</v>
      </c>
      <c r="C313" s="530">
        <v>30</v>
      </c>
      <c r="D313" s="597">
        <f>'Salarios y transporte'!C28</f>
        <v>301806.66222222219</v>
      </c>
      <c r="E313" s="500">
        <f t="shared" ref="E313:E319" si="11">G313-F313</f>
        <v>0</v>
      </c>
      <c r="F313" s="500">
        <f>+D313/C313</f>
        <v>10060.222074074072</v>
      </c>
      <c r="G313" s="579">
        <f>+D313/C313</f>
        <v>10060.222074074072</v>
      </c>
      <c r="H313" s="511"/>
    </row>
    <row r="314" spans="1:17">
      <c r="A314" s="529" t="s">
        <v>516</v>
      </c>
      <c r="B314" s="471" t="s">
        <v>426</v>
      </c>
      <c r="C314" s="530">
        <v>4</v>
      </c>
      <c r="D314" s="500">
        <f>'Salarios y transporte'!C2</f>
        <v>143542</v>
      </c>
      <c r="E314" s="500">
        <f t="shared" si="11"/>
        <v>0</v>
      </c>
      <c r="F314" s="500">
        <f>+D314/C314</f>
        <v>35885.5</v>
      </c>
      <c r="G314" s="580">
        <f>+D314/C314</f>
        <v>35885.5</v>
      </c>
      <c r="H314" s="511"/>
    </row>
    <row r="315" spans="1:17">
      <c r="A315" s="529" t="s">
        <v>517</v>
      </c>
      <c r="B315" s="471" t="s">
        <v>100</v>
      </c>
      <c r="C315" s="530">
        <v>1</v>
      </c>
      <c r="D315" s="500">
        <f>'Actualizacion de precios'!C11</f>
        <v>6846</v>
      </c>
      <c r="E315" s="500">
        <f>G315-F315</f>
        <v>1093.0588235294117</v>
      </c>
      <c r="F315" s="500">
        <f>C315*(D315/1.19)</f>
        <v>5752.9411764705883</v>
      </c>
      <c r="G315" s="579">
        <f t="shared" si="10"/>
        <v>6846</v>
      </c>
      <c r="H315" s="511"/>
    </row>
    <row r="316" spans="1:17">
      <c r="A316" s="529" t="s">
        <v>518</v>
      </c>
      <c r="B316" s="471" t="s">
        <v>100</v>
      </c>
      <c r="C316" s="530">
        <v>2</v>
      </c>
      <c r="D316" s="500">
        <f>'Actualizacion de precios'!C17</f>
        <v>5631</v>
      </c>
      <c r="E316" s="500">
        <f>G316-F316</f>
        <v>1798.134453781513</v>
      </c>
      <c r="F316" s="500">
        <f>C316*(D316/1.19)</f>
        <v>9463.865546218487</v>
      </c>
      <c r="G316" s="579">
        <f t="shared" si="10"/>
        <v>11262</v>
      </c>
      <c r="H316" s="511"/>
    </row>
    <row r="317" spans="1:17">
      <c r="A317" s="529" t="s">
        <v>519</v>
      </c>
      <c r="B317" s="471" t="s">
        <v>100</v>
      </c>
      <c r="C317" s="530">
        <v>2</v>
      </c>
      <c r="D317" s="500">
        <f>+'Actualizacion de precios'!C10</f>
        <v>7230</v>
      </c>
      <c r="E317" s="500">
        <f t="shared" si="11"/>
        <v>2308.7394957983179</v>
      </c>
      <c r="F317" s="500">
        <f>C317*(D317/1.19)</f>
        <v>12151.260504201682</v>
      </c>
      <c r="G317" s="579">
        <f t="shared" si="10"/>
        <v>14460</v>
      </c>
      <c r="H317" s="511"/>
      <c r="J317" s="567"/>
      <c r="K317" s="490"/>
      <c r="L317" s="567"/>
      <c r="M317" s="567"/>
      <c r="N317" s="567"/>
      <c r="O317" s="567"/>
      <c r="P317" s="567"/>
      <c r="Q317" s="567"/>
    </row>
    <row r="318" spans="1:17">
      <c r="A318" s="529" t="s">
        <v>520</v>
      </c>
      <c r="B318" s="471" t="s">
        <v>100</v>
      </c>
      <c r="C318" s="530">
        <v>2</v>
      </c>
      <c r="D318" s="500">
        <f>'Actualizacion de precios'!C37</f>
        <v>3251</v>
      </c>
      <c r="E318" s="500">
        <f t="shared" si="11"/>
        <v>1038.1344537815121</v>
      </c>
      <c r="F318" s="500">
        <f>C318*(D318/1.19)</f>
        <v>5463.8655462184879</v>
      </c>
      <c r="G318" s="579">
        <f t="shared" si="10"/>
        <v>6502</v>
      </c>
      <c r="H318" s="511"/>
      <c r="J318" s="567"/>
      <c r="K318" s="490"/>
      <c r="L318" s="567"/>
      <c r="M318" s="567"/>
      <c r="N318" s="567"/>
      <c r="O318" s="567"/>
      <c r="P318" s="567"/>
      <c r="Q318" s="567"/>
    </row>
    <row r="319" spans="1:17">
      <c r="A319" s="529" t="s">
        <v>437</v>
      </c>
      <c r="B319" s="471" t="s">
        <v>438</v>
      </c>
      <c r="C319" s="530">
        <v>0.2</v>
      </c>
      <c r="D319" s="500">
        <f>'Actualizacion de precios'!C19</f>
        <v>11014</v>
      </c>
      <c r="E319" s="500">
        <f t="shared" si="11"/>
        <v>351.70756302521022</v>
      </c>
      <c r="F319" s="500">
        <f>C319*(D319/1.19)</f>
        <v>1851.09243697479</v>
      </c>
      <c r="G319" s="579">
        <f t="shared" si="10"/>
        <v>2202.8000000000002</v>
      </c>
      <c r="H319" s="511"/>
      <c r="K319" s="490"/>
    </row>
    <row r="320" spans="1:17">
      <c r="A320" s="529" t="s">
        <v>419</v>
      </c>
      <c r="B320" s="471" t="s">
        <v>420</v>
      </c>
      <c r="C320" s="472">
        <v>0.05</v>
      </c>
      <c r="D320" s="500">
        <f>+G314</f>
        <v>35885.5</v>
      </c>
      <c r="E320" s="581"/>
      <c r="F320" s="500">
        <f>+D320*C320</f>
        <v>1794.2750000000001</v>
      </c>
      <c r="G320" s="576">
        <f t="shared" si="10"/>
        <v>1794.2750000000001</v>
      </c>
      <c r="H320" s="511"/>
      <c r="K320" s="391"/>
    </row>
    <row r="321" spans="1:12" ht="8.1" customHeight="1" thickBot="1">
      <c r="A321" s="512"/>
      <c r="B321" s="582"/>
      <c r="C321" s="518"/>
      <c r="D321" s="522"/>
      <c r="E321" s="523"/>
      <c r="F321" s="522"/>
      <c r="G321" s="583"/>
      <c r="H321" s="511"/>
    </row>
    <row r="322" spans="1:12" ht="13.5" customHeight="1" thickTop="1" thickBot="1">
      <c r="A322" s="379" t="s">
        <v>492</v>
      </c>
      <c r="B322" s="524"/>
      <c r="C322" s="525"/>
      <c r="D322" s="526"/>
      <c r="E322" s="527"/>
      <c r="F322" s="380">
        <f>SUM(F312:F321)</f>
        <v>136659.1567379396</v>
      </c>
      <c r="G322" s="506">
        <f>SUM(G312:G321)</f>
        <v>153553.79707407407</v>
      </c>
      <c r="H322" s="511"/>
    </row>
    <row r="323" spans="1:12" ht="13.5" customHeight="1" thickTop="1" thickBot="1">
      <c r="A323" s="382"/>
      <c r="B323" s="513"/>
      <c r="C323" s="518"/>
      <c r="D323" s="522"/>
      <c r="E323" s="523"/>
      <c r="F323" s="385"/>
      <c r="G323" s="392"/>
      <c r="H323" s="511"/>
    </row>
    <row r="324" spans="1:12" ht="25.5" customHeight="1" thickTop="1">
      <c r="A324" s="1308" t="s">
        <v>521</v>
      </c>
      <c r="B324" s="1309"/>
      <c r="C324" s="1309"/>
      <c r="D324" s="1309"/>
      <c r="E324" s="1309"/>
      <c r="F324" s="1309"/>
      <c r="G324" s="1310"/>
      <c r="H324" s="511"/>
    </row>
    <row r="325" spans="1:12">
      <c r="A325" s="562" t="s">
        <v>522</v>
      </c>
      <c r="B325" s="471" t="s">
        <v>100</v>
      </c>
      <c r="C325" s="530">
        <v>1</v>
      </c>
      <c r="D325" s="577">
        <f>+'Actualizacion de precios'!C50</f>
        <v>85093</v>
      </c>
      <c r="E325" s="519">
        <f t="shared" ref="E325:E331" si="12">G325-F325</f>
        <v>13586.277310924372</v>
      </c>
      <c r="F325" s="519">
        <f>C325*(D325/1.19)</f>
        <v>71506.722689075628</v>
      </c>
      <c r="G325" s="563">
        <f>+C325*(D325)</f>
        <v>85093</v>
      </c>
      <c r="H325" s="511"/>
      <c r="I325" s="559">
        <f>'ppto sistema septico'!V43</f>
        <v>1</v>
      </c>
      <c r="J325" s="540">
        <f>I325*(F325+SUM(F328:F331))</f>
        <v>97626.722689075628</v>
      </c>
      <c r="K325" s="540">
        <f>I325*(G325+SUM(G328:G331))</f>
        <v>174657.8</v>
      </c>
      <c r="L325" s="490">
        <f>K325-J325</f>
        <v>77031.07731092436</v>
      </c>
    </row>
    <row r="326" spans="1:12">
      <c r="A326" s="529" t="s">
        <v>435</v>
      </c>
      <c r="B326" s="471" t="s">
        <v>436</v>
      </c>
      <c r="C326" s="530">
        <v>30</v>
      </c>
      <c r="D326" s="597">
        <f>'Salarios y transporte'!C28</f>
        <v>301806.66222222219</v>
      </c>
      <c r="E326" s="519">
        <f t="shared" si="12"/>
        <v>0</v>
      </c>
      <c r="F326" s="519">
        <f>+D326/C326</f>
        <v>10060.222074074072</v>
      </c>
      <c r="G326" s="521">
        <f>+D326/C326</f>
        <v>10060.222074074072</v>
      </c>
      <c r="H326" s="511"/>
      <c r="K326" s="490"/>
    </row>
    <row r="327" spans="1:12">
      <c r="A327" s="529" t="s">
        <v>516</v>
      </c>
      <c r="B327" s="471" t="s">
        <v>426</v>
      </c>
      <c r="C327" s="538">
        <v>4</v>
      </c>
      <c r="D327" s="515">
        <f>'Salarios y transporte'!C2</f>
        <v>143542</v>
      </c>
      <c r="E327" s="515">
        <f t="shared" si="12"/>
        <v>0</v>
      </c>
      <c r="F327" s="515">
        <f>+D327/C327</f>
        <v>35885.5</v>
      </c>
      <c r="G327" s="517">
        <f>+D327/C327</f>
        <v>35885.5</v>
      </c>
      <c r="H327" s="511"/>
      <c r="K327" s="490"/>
    </row>
    <row r="328" spans="1:12">
      <c r="A328" s="529" t="s">
        <v>523</v>
      </c>
      <c r="B328" s="471" t="s">
        <v>100</v>
      </c>
      <c r="C328" s="530">
        <v>2</v>
      </c>
      <c r="D328" s="500">
        <f>+'Actualizacion de precios'!C9</f>
        <v>28314</v>
      </c>
      <c r="E328" s="519">
        <f t="shared" si="12"/>
        <v>44731.361344537814</v>
      </c>
      <c r="F328" s="519">
        <f>+D328/C328/1.19</f>
        <v>11896.638655462186</v>
      </c>
      <c r="G328" s="521">
        <f>+D328*C328</f>
        <v>56628</v>
      </c>
      <c r="H328" s="511"/>
    </row>
    <row r="329" spans="1:12">
      <c r="A329" s="529" t="s">
        <v>524</v>
      </c>
      <c r="B329" s="471" t="s">
        <v>100</v>
      </c>
      <c r="C329" s="530">
        <v>2</v>
      </c>
      <c r="D329" s="500">
        <f>'Actualizacion de precios'!C18</f>
        <v>10674</v>
      </c>
      <c r="E329" s="519">
        <f t="shared" si="12"/>
        <v>16863.126050420167</v>
      </c>
      <c r="F329" s="519">
        <f>+D329/C329/1.19</f>
        <v>4484.8739495798318</v>
      </c>
      <c r="G329" s="521">
        <f>+D329*C329</f>
        <v>21348</v>
      </c>
      <c r="H329" s="511"/>
    </row>
    <row r="330" spans="1:12">
      <c r="A330" s="529" t="s">
        <v>472</v>
      </c>
      <c r="B330" s="471" t="s">
        <v>100</v>
      </c>
      <c r="C330" s="530">
        <v>2</v>
      </c>
      <c r="D330" s="500">
        <f>'Actualizacion de precios'!C38</f>
        <v>4693</v>
      </c>
      <c r="E330" s="519">
        <f t="shared" si="12"/>
        <v>1498.6050420168067</v>
      </c>
      <c r="F330" s="519">
        <f>C330*(D330/1.19)</f>
        <v>7887.3949579831933</v>
      </c>
      <c r="G330" s="521">
        <f>+D330*C330</f>
        <v>9386</v>
      </c>
      <c r="H330" s="511"/>
    </row>
    <row r="331" spans="1:12">
      <c r="A331" s="529" t="s">
        <v>437</v>
      </c>
      <c r="B331" s="471" t="s">
        <v>438</v>
      </c>
      <c r="C331" s="530">
        <v>0.2</v>
      </c>
      <c r="D331" s="500">
        <f>'Actualizacion de precios'!C19</f>
        <v>11014</v>
      </c>
      <c r="E331" s="519">
        <f t="shared" si="12"/>
        <v>351.70756302520999</v>
      </c>
      <c r="F331" s="519">
        <f>+D331*C331/1.19</f>
        <v>1851.0924369747902</v>
      </c>
      <c r="G331" s="521">
        <f>+D331*C331</f>
        <v>2202.8000000000002</v>
      </c>
      <c r="H331" s="511"/>
    </row>
    <row r="332" spans="1:12">
      <c r="A332" s="529" t="s">
        <v>419</v>
      </c>
      <c r="B332" s="471" t="s">
        <v>420</v>
      </c>
      <c r="C332" s="472">
        <v>0.05</v>
      </c>
      <c r="D332" s="519">
        <f>+G327</f>
        <v>35885.5</v>
      </c>
      <c r="E332" s="520"/>
      <c r="F332" s="519">
        <f>+D332*C332</f>
        <v>1794.2750000000001</v>
      </c>
      <c r="G332" s="521">
        <f>+D332*C332</f>
        <v>1794.2750000000001</v>
      </c>
      <c r="H332" s="511"/>
    </row>
    <row r="333" spans="1:12" ht="16.5" customHeight="1" thickBot="1">
      <c r="A333" s="529"/>
      <c r="B333" s="471"/>
      <c r="C333" s="472"/>
      <c r="D333" s="522"/>
      <c r="E333" s="523"/>
      <c r="F333" s="522"/>
      <c r="G333" s="404"/>
      <c r="H333" s="511"/>
      <c r="I333" s="511"/>
      <c r="J333" s="490"/>
      <c r="K333" s="490"/>
      <c r="L333" s="490"/>
    </row>
    <row r="334" spans="1:12" ht="13.5" customHeight="1" thickTop="1" thickBot="1">
      <c r="A334" s="379" t="s">
        <v>492</v>
      </c>
      <c r="B334" s="524"/>
      <c r="C334" s="525"/>
      <c r="D334" s="526"/>
      <c r="E334" s="527"/>
      <c r="F334" s="380">
        <f>SUM(F325:F333)</f>
        <v>145366.71976314968</v>
      </c>
      <c r="G334" s="381">
        <f>SUM(G325:G333)</f>
        <v>222397.79707407407</v>
      </c>
      <c r="H334" s="511"/>
    </row>
    <row r="335" spans="1:12" ht="12.75" customHeight="1" thickTop="1" thickBot="1">
      <c r="A335" s="405"/>
      <c r="B335" s="374"/>
      <c r="C335" s="375"/>
      <c r="D335" s="385"/>
      <c r="E335" s="386"/>
      <c r="F335" s="385"/>
      <c r="G335" s="386"/>
      <c r="H335" s="511"/>
    </row>
    <row r="336" spans="1:12" ht="30" customHeight="1" thickTop="1">
      <c r="A336" s="1299" t="s">
        <v>525</v>
      </c>
      <c r="B336" s="1300"/>
      <c r="C336" s="1300"/>
      <c r="D336" s="1300"/>
      <c r="E336" s="1300"/>
      <c r="F336" s="1300"/>
      <c r="G336" s="1301"/>
      <c r="H336" s="511"/>
    </row>
    <row r="337" spans="1:17">
      <c r="A337" s="512" t="s">
        <v>526</v>
      </c>
      <c r="B337" s="513" t="s">
        <v>97</v>
      </c>
      <c r="C337" s="555">
        <v>0.5</v>
      </c>
      <c r="D337" s="584">
        <f>+'Actualizacion de precios'!C14</f>
        <v>128187</v>
      </c>
      <c r="E337" s="564">
        <f>G337-F337</f>
        <v>10233.41596638655</v>
      </c>
      <c r="F337" s="519">
        <f>C337*(D337/1.19)</f>
        <v>53860.08403361345</v>
      </c>
      <c r="G337" s="563">
        <f>+C337*(D337)</f>
        <v>64093.5</v>
      </c>
      <c r="I337" s="559">
        <f>'ppto sistema septico'!V44</f>
        <v>30</v>
      </c>
      <c r="J337" s="540">
        <f>I337*(F337+F338)</f>
        <v>4168920.1605378152</v>
      </c>
      <c r="K337" s="540">
        <f>I337*(G337+G338)</f>
        <v>4961014.9910399988</v>
      </c>
      <c r="L337" s="490">
        <f>K337-J337</f>
        <v>792094.83050218364</v>
      </c>
    </row>
    <row r="338" spans="1:17" s="567" customFormat="1">
      <c r="A338" s="565" t="s">
        <v>527</v>
      </c>
      <c r="B338" s="510" t="s">
        <v>100</v>
      </c>
      <c r="C338" s="566">
        <v>1</v>
      </c>
      <c r="D338" s="584">
        <f>+'Actualizacion de precios'!C51</f>
        <v>101273.66636799999</v>
      </c>
      <c r="E338" s="564">
        <f>G338-F338</f>
        <v>16169.74505035294</v>
      </c>
      <c r="F338" s="519">
        <f>C338*(D338/1.19)</f>
        <v>85103.921317647051</v>
      </c>
      <c r="G338" s="554">
        <f>+C338*(D338)</f>
        <v>101273.66636799999</v>
      </c>
      <c r="I338" s="469"/>
      <c r="J338" s="469"/>
      <c r="K338" s="469"/>
      <c r="L338" s="469"/>
      <c r="M338" s="469"/>
      <c r="N338" s="469"/>
      <c r="O338" s="469"/>
      <c r="P338" s="469"/>
      <c r="Q338" s="469"/>
    </row>
    <row r="339" spans="1:17" ht="13.5" customHeight="1">
      <c r="A339" s="529" t="s">
        <v>464</v>
      </c>
      <c r="B339" s="471" t="s">
        <v>100</v>
      </c>
      <c r="C339" s="518">
        <v>120</v>
      </c>
      <c r="D339" s="597">
        <f>'Salarios y transporte'!C28</f>
        <v>301806.66222222219</v>
      </c>
      <c r="E339" s="520"/>
      <c r="F339" s="519">
        <f>+D339/C339</f>
        <v>2515.0555185185181</v>
      </c>
      <c r="G339" s="554">
        <f>+D339/C339</f>
        <v>2515.0555185185181</v>
      </c>
      <c r="H339" s="511"/>
      <c r="I339" s="511"/>
      <c r="J339" s="490"/>
      <c r="K339" s="490"/>
      <c r="L339" s="490"/>
    </row>
    <row r="340" spans="1:17">
      <c r="A340" s="512" t="s">
        <v>528</v>
      </c>
      <c r="B340" s="513" t="s">
        <v>100</v>
      </c>
      <c r="C340" s="538">
        <v>12</v>
      </c>
      <c r="D340" s="515">
        <f>'Salarios y transporte'!C2</f>
        <v>143542</v>
      </c>
      <c r="E340" s="516"/>
      <c r="F340" s="515">
        <f>+D340/C340</f>
        <v>11961.833333333334</v>
      </c>
      <c r="G340" s="517">
        <f>+D340/C340</f>
        <v>11961.833333333334</v>
      </c>
    </row>
    <row r="341" spans="1:17">
      <c r="A341" s="512" t="s">
        <v>419</v>
      </c>
      <c r="B341" s="513" t="s">
        <v>420</v>
      </c>
      <c r="C341" s="530">
        <v>0.05</v>
      </c>
      <c r="D341" s="519">
        <f>+G340</f>
        <v>11961.833333333334</v>
      </c>
      <c r="E341" s="520"/>
      <c r="F341" s="519">
        <f>+C341*D341</f>
        <v>598.0916666666667</v>
      </c>
      <c r="G341" s="521">
        <f>+C341*D341</f>
        <v>598.0916666666667</v>
      </c>
    </row>
    <row r="342" spans="1:17" ht="13.5" thickBot="1">
      <c r="A342" s="512"/>
      <c r="B342" s="513"/>
      <c r="C342" s="518"/>
      <c r="D342" s="522"/>
      <c r="E342" s="523"/>
      <c r="F342" s="522"/>
      <c r="G342" s="378"/>
      <c r="K342" s="490"/>
    </row>
    <row r="343" spans="1:17" ht="24" customHeight="1" thickTop="1" thickBot="1">
      <c r="A343" s="379"/>
      <c r="B343" s="524"/>
      <c r="C343" s="525"/>
      <c r="D343" s="526"/>
      <c r="E343" s="527"/>
      <c r="F343" s="380"/>
      <c r="G343" s="381"/>
      <c r="K343" s="490"/>
    </row>
    <row r="344" spans="1:17" ht="13.5" customHeight="1" thickTop="1" thickBot="1">
      <c r="A344" s="379" t="s">
        <v>492</v>
      </c>
      <c r="B344" s="524"/>
      <c r="C344" s="525"/>
      <c r="D344" s="526"/>
      <c r="E344" s="527"/>
      <c r="F344" s="380">
        <f>SUM(F337:F343)</f>
        <v>154038.98586977905</v>
      </c>
      <c r="G344" s="381">
        <f>SUM(G337:G343)</f>
        <v>180442.14688651852</v>
      </c>
      <c r="H344" s="511"/>
      <c r="K344" s="490"/>
    </row>
    <row r="345" spans="1:17" ht="12.75" customHeight="1" thickTop="1" thickBot="1">
      <c r="A345" s="537"/>
      <c r="B345" s="471"/>
      <c r="C345" s="518"/>
      <c r="D345" s="522"/>
      <c r="E345" s="523"/>
      <c r="F345" s="522"/>
      <c r="H345" s="511"/>
      <c r="K345" s="391"/>
    </row>
    <row r="346" spans="1:17" ht="30" customHeight="1" thickTop="1">
      <c r="A346" s="1299" t="s">
        <v>529</v>
      </c>
      <c r="B346" s="1300"/>
      <c r="C346" s="1300"/>
      <c r="D346" s="1300"/>
      <c r="E346" s="1300"/>
      <c r="F346" s="1300"/>
      <c r="G346" s="1301"/>
      <c r="H346" s="511"/>
    </row>
    <row r="347" spans="1:17" ht="12.75" customHeight="1">
      <c r="A347" s="529" t="s">
        <v>530</v>
      </c>
      <c r="B347" s="471" t="s">
        <v>97</v>
      </c>
      <c r="C347" s="518">
        <v>1</v>
      </c>
      <c r="D347" s="522">
        <f>+'Actualizacion de precios'!C48</f>
        <v>7184.1549482808987</v>
      </c>
      <c r="E347" s="564">
        <f>G347-F347</f>
        <v>1147.0499497255214</v>
      </c>
      <c r="F347" s="519">
        <f>C347*(D347/1.19)</f>
        <v>6037.1049985553773</v>
      </c>
      <c r="G347" s="563">
        <f>+C347*(D347)</f>
        <v>7184.1549482808987</v>
      </c>
      <c r="H347" s="511"/>
      <c r="I347" s="559">
        <f>+'ppto sistema septico'!V45</f>
        <v>0</v>
      </c>
      <c r="J347" s="540">
        <f>I347*F347</f>
        <v>0</v>
      </c>
      <c r="K347" s="540">
        <f>I347*G347</f>
        <v>0</v>
      </c>
      <c r="L347" s="490">
        <f>K347-J347</f>
        <v>0</v>
      </c>
    </row>
    <row r="348" spans="1:17" ht="12.75" customHeight="1">
      <c r="A348" s="529" t="s">
        <v>435</v>
      </c>
      <c r="B348" s="471" t="s">
        <v>97</v>
      </c>
      <c r="C348" s="541">
        <f>1/(18*100)</f>
        <v>5.5555555555555556E-4</v>
      </c>
      <c r="D348" s="598">
        <f>'Salarios y transporte'!C28</f>
        <v>301806.66222222219</v>
      </c>
      <c r="E348" s="523"/>
      <c r="F348" s="522">
        <f>+(D348*C348)</f>
        <v>167.67036790123456</v>
      </c>
      <c r="G348" s="535">
        <f>+D348*C348</f>
        <v>167.67036790123456</v>
      </c>
      <c r="H348" s="511"/>
    </row>
    <row r="349" spans="1:17" ht="12.75" customHeight="1">
      <c r="A349" s="529" t="s">
        <v>531</v>
      </c>
      <c r="B349" s="471" t="s">
        <v>97</v>
      </c>
      <c r="C349" s="568">
        <v>0.05</v>
      </c>
      <c r="D349" s="569">
        <f>'Salarios y transporte'!C3</f>
        <v>74948</v>
      </c>
      <c r="E349" s="570"/>
      <c r="F349" s="569">
        <f>+(D349*C349)</f>
        <v>3747.4</v>
      </c>
      <c r="G349" s="571">
        <f>+D349*C349</f>
        <v>3747.4</v>
      </c>
      <c r="H349" s="511"/>
    </row>
    <row r="350" spans="1:17">
      <c r="A350" s="512" t="s">
        <v>419</v>
      </c>
      <c r="B350" s="513" t="s">
        <v>420</v>
      </c>
      <c r="C350" s="518">
        <v>0.05</v>
      </c>
      <c r="D350" s="522">
        <f>+G349</f>
        <v>3747.4</v>
      </c>
      <c r="E350" s="523"/>
      <c r="F350" s="522">
        <f>+D350*C350</f>
        <v>187.37</v>
      </c>
      <c r="G350" s="531">
        <f>+D350*C350</f>
        <v>187.37</v>
      </c>
    </row>
    <row r="351" spans="1:17" ht="14.25" customHeight="1" thickBot="1">
      <c r="A351" s="529"/>
      <c r="B351" s="471"/>
      <c r="C351" s="472"/>
      <c r="D351" s="522"/>
      <c r="E351" s="523"/>
      <c r="F351" s="522"/>
      <c r="G351" s="406"/>
      <c r="H351" s="511"/>
    </row>
    <row r="352" spans="1:17" ht="14.25" customHeight="1" thickTop="1" thickBot="1">
      <c r="A352" s="379" t="s">
        <v>447</v>
      </c>
      <c r="B352" s="524"/>
      <c r="C352" s="525"/>
      <c r="D352" s="526"/>
      <c r="E352" s="527"/>
      <c r="F352" s="380">
        <f>SUM(F347:F351)</f>
        <v>10139.545366456612</v>
      </c>
      <c r="G352" s="381">
        <f>SUM(G347:G351)</f>
        <v>11286.595316182134</v>
      </c>
      <c r="H352" s="511"/>
      <c r="K352" s="490"/>
    </row>
    <row r="353" spans="1:12" ht="12.75" customHeight="1" thickTop="1" thickBot="1">
      <c r="A353" s="537"/>
      <c r="B353" s="471"/>
      <c r="C353" s="518"/>
      <c r="D353" s="522"/>
      <c r="E353" s="523"/>
      <c r="F353" s="522"/>
      <c r="H353" s="511"/>
      <c r="K353" s="490"/>
    </row>
    <row r="354" spans="1:12" ht="30" customHeight="1" thickTop="1">
      <c r="A354" s="1299" t="s">
        <v>532</v>
      </c>
      <c r="B354" s="1300"/>
      <c r="C354" s="1300"/>
      <c r="D354" s="1300"/>
      <c r="E354" s="1300"/>
      <c r="F354" s="1300"/>
      <c r="G354" s="1301"/>
      <c r="H354" s="511"/>
      <c r="K354" s="490"/>
    </row>
    <row r="355" spans="1:12" ht="12.75" customHeight="1">
      <c r="A355" s="529" t="s">
        <v>533</v>
      </c>
      <c r="B355" s="471" t="s">
        <v>97</v>
      </c>
      <c r="C355" s="518">
        <v>1</v>
      </c>
      <c r="D355" s="522">
        <f>+'Actualizacion de precios'!C49</f>
        <v>14684.489697194162</v>
      </c>
      <c r="E355" s="564">
        <f>G355-F355</f>
        <v>2344.5823886276394</v>
      </c>
      <c r="F355" s="519">
        <f>C355*(D355/1.19)</f>
        <v>12339.907308566522</v>
      </c>
      <c r="G355" s="563">
        <f>+C355*(D355)</f>
        <v>14684.489697194162</v>
      </c>
      <c r="H355" s="511"/>
      <c r="I355" s="559">
        <f>'ppto sistema septico'!V46</f>
        <v>0</v>
      </c>
      <c r="J355" s="540">
        <f>I355*F355</f>
        <v>0</v>
      </c>
      <c r="K355" s="540">
        <f>I355*G355</f>
        <v>0</v>
      </c>
      <c r="L355" s="490">
        <f>K355-J355</f>
        <v>0</v>
      </c>
    </row>
    <row r="356" spans="1:12" ht="12.75" customHeight="1">
      <c r="A356" s="529" t="s">
        <v>435</v>
      </c>
      <c r="B356" s="471" t="s">
        <v>97</v>
      </c>
      <c r="C356" s="541">
        <f>1/(18*100)</f>
        <v>5.5555555555555556E-4</v>
      </c>
      <c r="D356" s="598">
        <f>'Salarios y transporte'!C28</f>
        <v>301806.66222222219</v>
      </c>
      <c r="E356" s="523"/>
      <c r="F356" s="522">
        <f>+D356*C356</f>
        <v>167.67036790123456</v>
      </c>
      <c r="G356" s="535">
        <f>+D356*C356</f>
        <v>167.67036790123456</v>
      </c>
      <c r="H356" s="511"/>
    </row>
    <row r="357" spans="1:12" ht="12.75" customHeight="1">
      <c r="A357" s="529" t="s">
        <v>531</v>
      </c>
      <c r="B357" s="471" t="s">
        <v>97</v>
      </c>
      <c r="C357" s="568">
        <v>0.1</v>
      </c>
      <c r="D357" s="569">
        <f>+'Salarios y transporte'!C3</f>
        <v>74948</v>
      </c>
      <c r="E357" s="570"/>
      <c r="F357" s="569">
        <f>+D357*C357</f>
        <v>7494.8</v>
      </c>
      <c r="G357" s="571">
        <f>+D357*C357</f>
        <v>7494.8</v>
      </c>
      <c r="H357" s="511"/>
    </row>
    <row r="358" spans="1:12">
      <c r="A358" s="512" t="s">
        <v>419</v>
      </c>
      <c r="B358" s="513" t="s">
        <v>420</v>
      </c>
      <c r="C358" s="518">
        <v>0.05</v>
      </c>
      <c r="D358" s="522">
        <f>+G357</f>
        <v>7494.8</v>
      </c>
      <c r="E358" s="523"/>
      <c r="F358" s="522">
        <f>+D358*C358</f>
        <v>374.74</v>
      </c>
      <c r="G358" s="531">
        <f>+D358*C358</f>
        <v>374.74</v>
      </c>
    </row>
    <row r="359" spans="1:12" ht="8.1" customHeight="1" thickBot="1">
      <c r="A359" s="529"/>
      <c r="B359" s="471"/>
      <c r="C359" s="472"/>
      <c r="D359" s="522"/>
      <c r="E359" s="523"/>
      <c r="F359" s="522"/>
      <c r="G359" s="406"/>
      <c r="H359" s="511"/>
    </row>
    <row r="360" spans="1:12" ht="13.5" customHeight="1" thickTop="1" thickBot="1">
      <c r="A360" s="379" t="s">
        <v>447</v>
      </c>
      <c r="B360" s="524"/>
      <c r="C360" s="525"/>
      <c r="D360" s="526"/>
      <c r="E360" s="527"/>
      <c r="F360" s="380">
        <f>SUM(F355:F359)</f>
        <v>20377.117676467758</v>
      </c>
      <c r="G360" s="381">
        <f>SUM(G355:G359)</f>
        <v>22721.7000650954</v>
      </c>
      <c r="H360" s="511"/>
    </row>
    <row r="361" spans="1:12" ht="12.75" customHeight="1" thickTop="1" thickBot="1">
      <c r="A361" s="537"/>
      <c r="B361" s="471"/>
      <c r="C361" s="518"/>
      <c r="D361" s="522"/>
      <c r="E361" s="523"/>
      <c r="F361" s="522"/>
      <c r="H361" s="511"/>
    </row>
    <row r="362" spans="1:12" ht="30" customHeight="1" thickTop="1">
      <c r="A362" s="1299" t="s">
        <v>534</v>
      </c>
      <c r="B362" s="1300"/>
      <c r="C362" s="1300"/>
      <c r="D362" s="1300"/>
      <c r="E362" s="1300"/>
      <c r="F362" s="1300"/>
      <c r="G362" s="1301"/>
      <c r="H362" s="511"/>
    </row>
    <row r="363" spans="1:12" ht="12.75" customHeight="1">
      <c r="A363" s="529" t="s">
        <v>535</v>
      </c>
      <c r="B363" s="471" t="s">
        <v>100</v>
      </c>
      <c r="C363" s="518">
        <v>1</v>
      </c>
      <c r="D363" s="522">
        <f>+'Actualizacion de precios'!C44</f>
        <v>20153.02555334822</v>
      </c>
      <c r="E363" s="564">
        <f>G363-F363</f>
        <v>3217.7099622992937</v>
      </c>
      <c r="F363" s="519">
        <f>C363*(D363/1.19)</f>
        <v>16935.315591048926</v>
      </c>
      <c r="G363" s="563">
        <f>+C363*(D363)</f>
        <v>20153.02555334822</v>
      </c>
      <c r="H363" s="511"/>
      <c r="I363" s="559">
        <f>'ppto sistema septico'!V47</f>
        <v>0</v>
      </c>
      <c r="J363" s="540">
        <f>I363*(F363+F364+F366)</f>
        <v>0</v>
      </c>
      <c r="K363" s="540">
        <f>I363*(G363+G364+G366)</f>
        <v>0</v>
      </c>
      <c r="L363" s="490">
        <f>K363-J363</f>
        <v>0</v>
      </c>
    </row>
    <row r="364" spans="1:12" ht="12.75" customHeight="1">
      <c r="A364" s="529" t="s">
        <v>536</v>
      </c>
      <c r="B364" s="471" t="s">
        <v>100</v>
      </c>
      <c r="C364" s="518">
        <v>1</v>
      </c>
      <c r="D364" s="522">
        <f>'Actualizacion de precios'!C21</f>
        <v>12048</v>
      </c>
      <c r="E364" s="564">
        <f>G364-F364</f>
        <v>1923.6302521008402</v>
      </c>
      <c r="F364" s="519">
        <f>C364*(D364/1.19)</f>
        <v>10124.36974789916</v>
      </c>
      <c r="G364" s="554">
        <f>+C364*(D364)</f>
        <v>12048</v>
      </c>
      <c r="H364" s="511"/>
    </row>
    <row r="365" spans="1:12" ht="12.75" customHeight="1">
      <c r="A365" s="529" t="s">
        <v>435</v>
      </c>
      <c r="B365" s="471" t="s">
        <v>420</v>
      </c>
      <c r="C365" s="541">
        <v>1E-3</v>
      </c>
      <c r="D365" s="598">
        <f>'Salarios y transporte'!C28</f>
        <v>301806.66222222219</v>
      </c>
      <c r="E365" s="523"/>
      <c r="F365" s="522">
        <f>+D365*C365</f>
        <v>301.8066622222222</v>
      </c>
      <c r="G365" s="535">
        <f>+D365*C365</f>
        <v>301.8066622222222</v>
      </c>
      <c r="H365" s="511"/>
    </row>
    <row r="366" spans="1:12" ht="12.75" customHeight="1">
      <c r="A366" s="529" t="s">
        <v>537</v>
      </c>
      <c r="B366" s="471" t="s">
        <v>420</v>
      </c>
      <c r="C366" s="518">
        <v>0.15</v>
      </c>
      <c r="D366" s="500">
        <f>+D376</f>
        <v>34118</v>
      </c>
      <c r="E366" s="564">
        <f>G366-F366</f>
        <v>817.1117647058818</v>
      </c>
      <c r="F366" s="522">
        <f>+D366*C366/1.19</f>
        <v>4300.588235294118</v>
      </c>
      <c r="G366" s="535">
        <f>+D366*C366</f>
        <v>5117.7</v>
      </c>
      <c r="H366" s="511"/>
    </row>
    <row r="367" spans="1:12" ht="12.75" customHeight="1">
      <c r="A367" s="529" t="s">
        <v>453</v>
      </c>
      <c r="B367" s="471" t="s">
        <v>100</v>
      </c>
      <c r="C367" s="568">
        <v>3.3333300000000003E-2</v>
      </c>
      <c r="D367" s="569">
        <f>'Salarios y transporte'!C2</f>
        <v>143542</v>
      </c>
      <c r="E367" s="570"/>
      <c r="F367" s="569">
        <f>+D367/C367</f>
        <v>4306264.3062643055</v>
      </c>
      <c r="G367" s="571">
        <f>+D367*C367</f>
        <v>4784.7285486000001</v>
      </c>
      <c r="H367" s="511"/>
    </row>
    <row r="368" spans="1:12">
      <c r="A368" s="512" t="s">
        <v>419</v>
      </c>
      <c r="B368" s="513" t="s">
        <v>420</v>
      </c>
      <c r="C368" s="518">
        <v>0.05</v>
      </c>
      <c r="D368" s="522">
        <f>+G367</f>
        <v>4784.7285486000001</v>
      </c>
      <c r="E368" s="523"/>
      <c r="F368" s="522">
        <f>+D368*C368</f>
        <v>239.23642743000002</v>
      </c>
      <c r="G368" s="531">
        <f>+D368*C368</f>
        <v>239.23642743000002</v>
      </c>
    </row>
    <row r="369" spans="1:12" ht="8.1" customHeight="1" thickBot="1">
      <c r="A369" s="529"/>
      <c r="B369" s="471"/>
      <c r="C369" s="472"/>
      <c r="D369" s="522"/>
      <c r="E369" s="523"/>
      <c r="F369" s="522"/>
      <c r="G369" s="406"/>
      <c r="H369" s="511"/>
      <c r="K369" s="490"/>
    </row>
    <row r="370" spans="1:12" ht="13.5" customHeight="1" thickTop="1" thickBot="1">
      <c r="A370" s="379" t="s">
        <v>454</v>
      </c>
      <c r="B370" s="524"/>
      <c r="C370" s="525"/>
      <c r="D370" s="526"/>
      <c r="E370" s="527"/>
      <c r="F370" s="380">
        <f>SUM(F363:F369)</f>
        <v>4338165.6229282003</v>
      </c>
      <c r="G370" s="381">
        <f>SUM(G363:G369)</f>
        <v>42644.497191600436</v>
      </c>
      <c r="H370" s="511"/>
      <c r="K370" s="490"/>
    </row>
    <row r="371" spans="1:12" ht="12.75" customHeight="1" thickTop="1" thickBot="1">
      <c r="A371" s="537"/>
      <c r="B371" s="471"/>
      <c r="C371" s="518"/>
      <c r="D371" s="522"/>
      <c r="E371" s="523"/>
      <c r="F371" s="522"/>
      <c r="H371" s="511"/>
      <c r="K371" s="490"/>
    </row>
    <row r="372" spans="1:12" ht="30" customHeight="1" thickTop="1">
      <c r="A372" s="1308" t="s">
        <v>538</v>
      </c>
      <c r="B372" s="1309"/>
      <c r="C372" s="1309"/>
      <c r="D372" s="1309"/>
      <c r="E372" s="1309"/>
      <c r="F372" s="1309"/>
      <c r="G372" s="1310"/>
      <c r="H372" s="511"/>
    </row>
    <row r="373" spans="1:12" ht="12.75" customHeight="1">
      <c r="A373" s="529" t="s">
        <v>539</v>
      </c>
      <c r="B373" s="471" t="s">
        <v>100</v>
      </c>
      <c r="C373" s="518">
        <v>1</v>
      </c>
      <c r="D373" s="522">
        <f>'Actualizacion de precios'!C23</f>
        <v>31853</v>
      </c>
      <c r="E373" s="564">
        <f>G373-F373</f>
        <v>5085.7731092436952</v>
      </c>
      <c r="F373" s="519">
        <f>C373*(D373/1.19)</f>
        <v>26767.226890756305</v>
      </c>
      <c r="G373" s="563">
        <f>+C373*(D373)</f>
        <v>31853</v>
      </c>
      <c r="H373" s="511"/>
      <c r="I373" s="559">
        <f>'ppto sistema septico'!V48</f>
        <v>0</v>
      </c>
      <c r="J373" s="540">
        <f>I373*(F373+F374+F376)</f>
        <v>0</v>
      </c>
      <c r="K373" s="540">
        <f>I373*(G373+G374+G376)</f>
        <v>0</v>
      </c>
      <c r="L373" s="490">
        <f>K373-J373</f>
        <v>0</v>
      </c>
    </row>
    <row r="374" spans="1:12" ht="12.75" customHeight="1">
      <c r="A374" s="529" t="s">
        <v>540</v>
      </c>
      <c r="B374" s="471" t="s">
        <v>100</v>
      </c>
      <c r="C374" s="518">
        <v>1</v>
      </c>
      <c r="D374" s="522">
        <f>'Actualizacion de precios'!C22</f>
        <v>35394</v>
      </c>
      <c r="E374" s="564">
        <f>G374-F374</f>
        <v>5651.1428571428551</v>
      </c>
      <c r="F374" s="519">
        <f>C374*(D374/1.19)</f>
        <v>29742.857142857145</v>
      </c>
      <c r="G374" s="561">
        <f>+C374*(D374)</f>
        <v>35394</v>
      </c>
      <c r="H374" s="511"/>
    </row>
    <row r="375" spans="1:12" ht="12.75" customHeight="1">
      <c r="A375" s="529" t="s">
        <v>435</v>
      </c>
      <c r="B375" s="471" t="s">
        <v>420</v>
      </c>
      <c r="C375" s="541">
        <v>1E-3</v>
      </c>
      <c r="D375" s="598">
        <f>'Salarios y transporte'!C28</f>
        <v>301806.66222222219</v>
      </c>
      <c r="E375" s="523"/>
      <c r="F375" s="522">
        <f>+D375*C375</f>
        <v>301.8066622222222</v>
      </c>
      <c r="G375" s="535">
        <f>+D375*C375</f>
        <v>301.8066622222222</v>
      </c>
      <c r="H375" s="511"/>
    </row>
    <row r="376" spans="1:12" ht="12.75" customHeight="1">
      <c r="A376" s="529" t="s">
        <v>537</v>
      </c>
      <c r="B376" s="471" t="s">
        <v>420</v>
      </c>
      <c r="C376" s="518">
        <v>0.2</v>
      </c>
      <c r="D376" s="500">
        <f>'Actualizacion de precios'!C20</f>
        <v>34118</v>
      </c>
      <c r="E376" s="564">
        <f>G376-F376</f>
        <v>1089.482352941176</v>
      </c>
      <c r="F376" s="522">
        <f>+D376*C376/1.19</f>
        <v>5734.1176470588243</v>
      </c>
      <c r="G376" s="535">
        <f>+D376*C376</f>
        <v>6823.6</v>
      </c>
      <c r="H376" s="511"/>
    </row>
    <row r="377" spans="1:12" ht="12.75" customHeight="1">
      <c r="A377" s="529" t="s">
        <v>453</v>
      </c>
      <c r="B377" s="471" t="s">
        <v>467</v>
      </c>
      <c r="C377" s="568">
        <v>0.04</v>
      </c>
      <c r="D377" s="569">
        <f>+'Salarios y transporte'!C2</f>
        <v>143542</v>
      </c>
      <c r="E377" s="570"/>
      <c r="F377" s="569">
        <f>+D377*C377</f>
        <v>5741.68</v>
      </c>
      <c r="G377" s="571">
        <f>+D377*C377</f>
        <v>5741.68</v>
      </c>
      <c r="H377" s="511"/>
    </row>
    <row r="378" spans="1:12">
      <c r="A378" s="512" t="s">
        <v>419</v>
      </c>
      <c r="B378" s="513" t="s">
        <v>420</v>
      </c>
      <c r="C378" s="518">
        <v>0.05</v>
      </c>
      <c r="D378" s="522">
        <f>+G377</f>
        <v>5741.68</v>
      </c>
      <c r="E378" s="523"/>
      <c r="F378" s="522">
        <f>+D378*C378</f>
        <v>287.084</v>
      </c>
      <c r="G378" s="531">
        <f>+D378*C378</f>
        <v>287.084</v>
      </c>
    </row>
    <row r="379" spans="1:12" ht="8.1" customHeight="1" thickBot="1">
      <c r="A379" s="529"/>
      <c r="B379" s="471"/>
      <c r="C379" s="472"/>
      <c r="D379" s="522"/>
      <c r="E379" s="523"/>
      <c r="F379" s="522"/>
      <c r="G379" s="406"/>
      <c r="H379" s="511"/>
    </row>
    <row r="380" spans="1:12" ht="13.5" customHeight="1" thickTop="1" thickBot="1">
      <c r="A380" s="379" t="s">
        <v>454</v>
      </c>
      <c r="B380" s="524"/>
      <c r="C380" s="525"/>
      <c r="D380" s="526"/>
      <c r="E380" s="527"/>
      <c r="F380" s="380">
        <f>SUM(F373:F379)</f>
        <v>68574.772342894503</v>
      </c>
      <c r="G380" s="381">
        <f>SUM(G373:G379)</f>
        <v>80401.170662222226</v>
      </c>
      <c r="H380" s="511"/>
    </row>
    <row r="381" spans="1:12" ht="12.75" customHeight="1" thickTop="1" thickBot="1">
      <c r="A381" s="382"/>
      <c r="B381" s="383"/>
      <c r="C381" s="384"/>
      <c r="D381" s="385"/>
      <c r="E381" s="386"/>
      <c r="F381" s="385"/>
      <c r="G381" s="386"/>
      <c r="H381" s="511"/>
    </row>
    <row r="382" spans="1:12" ht="30" customHeight="1" thickTop="1">
      <c r="A382" s="1308" t="s">
        <v>165</v>
      </c>
      <c r="B382" s="1309"/>
      <c r="C382" s="1309"/>
      <c r="D382" s="1309"/>
      <c r="E382" s="1309"/>
      <c r="F382" s="1309"/>
      <c r="G382" s="1310"/>
      <c r="H382" s="511"/>
    </row>
    <row r="383" spans="1:12" ht="12.75" customHeight="1">
      <c r="A383" s="529" t="s">
        <v>444</v>
      </c>
      <c r="B383" s="471" t="s">
        <v>97</v>
      </c>
      <c r="C383" s="472">
        <v>1.05</v>
      </c>
      <c r="D383" s="500">
        <f>'Actualizacion de precios'!C32</f>
        <v>22586</v>
      </c>
      <c r="E383" s="564">
        <f>G383-F383</f>
        <v>3786.4764705882299</v>
      </c>
      <c r="F383" s="519">
        <f>C383*(D383/1.19)</f>
        <v>19928.823529411769</v>
      </c>
      <c r="G383" s="563">
        <f>+C383*(D383)</f>
        <v>23715.3</v>
      </c>
      <c r="H383" s="511"/>
      <c r="I383" s="559">
        <f>+'ppto sistema septico'!V49</f>
        <v>0</v>
      </c>
      <c r="J383" s="540">
        <f>I383*(F383+F384+F386)</f>
        <v>0</v>
      </c>
      <c r="K383" s="540">
        <f>I383*(G383+G384+G386)</f>
        <v>0</v>
      </c>
      <c r="L383" s="490">
        <f>K383-J383</f>
        <v>0</v>
      </c>
    </row>
    <row r="384" spans="1:12" ht="12.75" customHeight="1">
      <c r="A384" s="529" t="s">
        <v>541</v>
      </c>
      <c r="B384" s="471" t="s">
        <v>100</v>
      </c>
      <c r="C384" s="518">
        <v>1</v>
      </c>
      <c r="D384" s="522">
        <f>'Actualizacion de precios'!C27</f>
        <v>10809</v>
      </c>
      <c r="E384" s="564">
        <f>G384-F384</f>
        <v>1725.8067226890744</v>
      </c>
      <c r="F384" s="519">
        <f>C384*(D384/1.19)</f>
        <v>9083.1932773109256</v>
      </c>
      <c r="G384" s="561">
        <f>+C384*(D384)</f>
        <v>10809</v>
      </c>
      <c r="H384" s="511"/>
    </row>
    <row r="385" spans="1:12" ht="12.75" customHeight="1">
      <c r="A385" s="529" t="s">
        <v>435</v>
      </c>
      <c r="B385" s="471" t="s">
        <v>420</v>
      </c>
      <c r="C385" s="541">
        <v>1E-3</v>
      </c>
      <c r="D385" s="598">
        <f>'Salarios y transporte'!C28</f>
        <v>301806.66222222219</v>
      </c>
      <c r="E385" s="523"/>
      <c r="F385" s="522">
        <f>+D385*C385</f>
        <v>301.8066622222222</v>
      </c>
      <c r="G385" s="535">
        <f>+D385*C385</f>
        <v>301.8066622222222</v>
      </c>
      <c r="H385" s="511"/>
    </row>
    <row r="386" spans="1:12" ht="12.75" customHeight="1">
      <c r="A386" s="529" t="s">
        <v>537</v>
      </c>
      <c r="B386" s="471" t="s">
        <v>420</v>
      </c>
      <c r="C386" s="518">
        <v>0.2</v>
      </c>
      <c r="D386" s="500">
        <f>'Actualizacion de precios'!C20</f>
        <v>34118</v>
      </c>
      <c r="E386" s="564">
        <f>G386-F386</f>
        <v>1089.482352941176</v>
      </c>
      <c r="F386" s="522">
        <f>+D386*C386/1.19</f>
        <v>5734.1176470588243</v>
      </c>
      <c r="G386" s="535">
        <f>+D386*C386</f>
        <v>6823.6</v>
      </c>
      <c r="H386" s="511"/>
    </row>
    <row r="387" spans="1:12" ht="12.75" customHeight="1">
      <c r="A387" s="529" t="s">
        <v>453</v>
      </c>
      <c r="B387" s="471" t="s">
        <v>467</v>
      </c>
      <c r="C387" s="568">
        <v>0.04</v>
      </c>
      <c r="D387" s="569">
        <f>+'Salarios y transporte'!C2</f>
        <v>143542</v>
      </c>
      <c r="E387" s="570"/>
      <c r="F387" s="569">
        <f>+D387*C387</f>
        <v>5741.68</v>
      </c>
      <c r="G387" s="571">
        <f>+D387*C387</f>
        <v>5741.68</v>
      </c>
      <c r="H387" s="511"/>
    </row>
    <row r="388" spans="1:12">
      <c r="A388" s="512" t="s">
        <v>419</v>
      </c>
      <c r="B388" s="513" t="s">
        <v>420</v>
      </c>
      <c r="C388" s="518">
        <v>0.05</v>
      </c>
      <c r="D388" s="522">
        <f>+G387</f>
        <v>5741.68</v>
      </c>
      <c r="E388" s="523"/>
      <c r="F388" s="522">
        <f>+D388*C388</f>
        <v>287.084</v>
      </c>
      <c r="G388" s="531">
        <f>+D388*C388</f>
        <v>287.084</v>
      </c>
    </row>
    <row r="389" spans="1:12" ht="8.1" customHeight="1" thickBot="1">
      <c r="A389" s="529"/>
      <c r="B389" s="471"/>
      <c r="C389" s="472"/>
      <c r="D389" s="522"/>
      <c r="E389" s="523"/>
      <c r="F389" s="522"/>
      <c r="G389" s="406"/>
      <c r="H389" s="511"/>
    </row>
    <row r="390" spans="1:12" ht="13.5" customHeight="1" thickTop="1" thickBot="1">
      <c r="A390" s="379" t="s">
        <v>454</v>
      </c>
      <c r="B390" s="524"/>
      <c r="C390" s="525"/>
      <c r="D390" s="526"/>
      <c r="E390" s="527"/>
      <c r="F390" s="380">
        <f>SUM(F383:F389)</f>
        <v>41076.705116003744</v>
      </c>
      <c r="G390" s="381">
        <f>SUM(G383:G389)</f>
        <v>47678.470662222229</v>
      </c>
      <c r="H390" s="511"/>
    </row>
    <row r="391" spans="1:12" ht="13.5" customHeight="1" thickTop="1" thickBot="1">
      <c r="A391" s="400"/>
      <c r="B391" s="513"/>
      <c r="C391" s="518"/>
      <c r="D391" s="522"/>
      <c r="E391" s="523"/>
      <c r="F391" s="376"/>
      <c r="G391" s="407"/>
      <c r="H391" s="511"/>
    </row>
    <row r="392" spans="1:12" ht="25.5" customHeight="1" thickTop="1">
      <c r="A392" s="1299" t="s">
        <v>542</v>
      </c>
      <c r="B392" s="1300"/>
      <c r="C392" s="1300"/>
      <c r="D392" s="1300"/>
      <c r="E392" s="1300"/>
      <c r="F392" s="1300"/>
      <c r="G392" s="1301"/>
      <c r="H392" s="511"/>
    </row>
    <row r="393" spans="1:12">
      <c r="A393" s="512" t="s">
        <v>543</v>
      </c>
      <c r="B393" s="513" t="s">
        <v>130</v>
      </c>
      <c r="C393" s="518">
        <v>1</v>
      </c>
      <c r="D393" s="522">
        <f>+'Actualizacion de precios'!C42</f>
        <v>5498</v>
      </c>
      <c r="E393" s="564">
        <f>G393-F393</f>
        <v>877.83193277310875</v>
      </c>
      <c r="F393" s="519">
        <f>+D393*C393/1.19</f>
        <v>4620.1680672268913</v>
      </c>
      <c r="G393" s="535">
        <f>+C393*(D393)</f>
        <v>5498</v>
      </c>
      <c r="H393" s="511"/>
      <c r="I393" s="559">
        <f>'ppto sistema septico'!V53</f>
        <v>138.30000000000001</v>
      </c>
      <c r="J393" s="540">
        <f>I393*F393</f>
        <v>638969.24369747913</v>
      </c>
      <c r="K393" s="540">
        <f>I393*G393</f>
        <v>760373.4</v>
      </c>
      <c r="L393" s="490">
        <f>K393-J393</f>
        <v>121404.15630252089</v>
      </c>
    </row>
    <row r="394" spans="1:12">
      <c r="A394" s="512" t="s">
        <v>435</v>
      </c>
      <c r="B394" s="513" t="s">
        <v>436</v>
      </c>
      <c r="C394" s="518">
        <v>5.0000000000000001E-3</v>
      </c>
      <c r="D394" s="598">
        <f>'Salarios y transporte'!C28</f>
        <v>301806.66222222219</v>
      </c>
      <c r="E394" s="523"/>
      <c r="F394" s="522">
        <f>+C394*D394</f>
        <v>1509.0333111111111</v>
      </c>
      <c r="G394" s="521">
        <f>+C394*D394</f>
        <v>1509.0333111111111</v>
      </c>
      <c r="H394" s="511"/>
    </row>
    <row r="395" spans="1:12" ht="12.75" customHeight="1">
      <c r="A395" s="529" t="s">
        <v>544</v>
      </c>
      <c r="B395" s="471" t="s">
        <v>130</v>
      </c>
      <c r="C395" s="572">
        <v>3.3333333333333333E-2</v>
      </c>
      <c r="D395" s="569">
        <f>'Salarios y transporte'!C5</f>
        <v>218490</v>
      </c>
      <c r="E395" s="570"/>
      <c r="F395" s="569">
        <f>+D395*C395</f>
        <v>7283</v>
      </c>
      <c r="G395" s="571">
        <f>+D395*C395</f>
        <v>7283</v>
      </c>
      <c r="H395" s="511"/>
    </row>
    <row r="396" spans="1:12">
      <c r="A396" s="512" t="s">
        <v>419</v>
      </c>
      <c r="B396" s="513" t="s">
        <v>420</v>
      </c>
      <c r="C396" s="518">
        <v>0.05</v>
      </c>
      <c r="D396" s="522">
        <f>+G395</f>
        <v>7283</v>
      </c>
      <c r="E396" s="523"/>
      <c r="F396" s="522">
        <f>+D396*C396</f>
        <v>364.15000000000003</v>
      </c>
      <c r="G396" s="521">
        <f>+D396*C396</f>
        <v>364.15000000000003</v>
      </c>
      <c r="H396" s="511"/>
    </row>
    <row r="397" spans="1:12" ht="18" customHeight="1" thickBot="1">
      <c r="A397" s="512"/>
      <c r="B397" s="513"/>
      <c r="C397" s="518"/>
      <c r="D397" s="522"/>
      <c r="E397" s="523"/>
      <c r="F397" s="522"/>
      <c r="G397" s="378"/>
      <c r="H397" s="511"/>
    </row>
    <row r="398" spans="1:12" ht="15.75" customHeight="1" thickTop="1" thickBot="1">
      <c r="A398" s="379" t="s">
        <v>545</v>
      </c>
      <c r="B398" s="524"/>
      <c r="C398" s="525"/>
      <c r="D398" s="526"/>
      <c r="E398" s="527"/>
      <c r="F398" s="380">
        <f>SUM(F393:F397)</f>
        <v>13776.351378338002</v>
      </c>
      <c r="G398" s="381">
        <f>SUM(G393:G397)</f>
        <v>14654.18331111111</v>
      </c>
      <c r="H398" s="511"/>
    </row>
    <row r="399" spans="1:12" ht="12.75" customHeight="1" thickTop="1" thickBot="1">
      <c r="A399" s="537"/>
      <c r="B399" s="471"/>
      <c r="C399" s="518"/>
      <c r="D399" s="522"/>
      <c r="E399" s="523"/>
      <c r="F399" s="522"/>
      <c r="H399" s="511"/>
    </row>
    <row r="400" spans="1:12" ht="30" customHeight="1" thickTop="1">
      <c r="A400" s="1308" t="s">
        <v>546</v>
      </c>
      <c r="B400" s="1309"/>
      <c r="C400" s="1309"/>
      <c r="D400" s="1309"/>
      <c r="E400" s="1309"/>
      <c r="F400" s="1309"/>
      <c r="G400" s="1310"/>
      <c r="H400" s="511"/>
    </row>
    <row r="401" spans="1:12">
      <c r="A401" s="562" t="s">
        <v>543</v>
      </c>
      <c r="B401" s="471" t="s">
        <v>100</v>
      </c>
      <c r="C401" s="530">
        <v>1</v>
      </c>
      <c r="D401" s="584">
        <f>+'Actualizacion de precios'!C43</f>
        <v>12608.988671999999</v>
      </c>
      <c r="E401" s="564"/>
      <c r="F401" s="519">
        <f>+D401*C401/1.19</f>
        <v>10595.7888</v>
      </c>
      <c r="G401" s="573">
        <f>+C401*(D401)</f>
        <v>12608.988671999999</v>
      </c>
      <c r="H401" s="511"/>
      <c r="I401" s="511"/>
      <c r="J401" s="540"/>
      <c r="K401" s="540"/>
      <c r="L401" s="490"/>
    </row>
    <row r="402" spans="1:12">
      <c r="A402" s="529" t="s">
        <v>435</v>
      </c>
      <c r="B402" s="471" t="s">
        <v>547</v>
      </c>
      <c r="C402" s="574">
        <v>1.2345679012345679E-3</v>
      </c>
      <c r="D402" s="598">
        <f>'Salarios y transporte'!C28</f>
        <v>301806.66222222219</v>
      </c>
      <c r="E402" s="523"/>
      <c r="F402" s="522">
        <f>+C402*D402</f>
        <v>372.60081755829901</v>
      </c>
      <c r="G402" s="531">
        <f>+D402*C402</f>
        <v>372.60081755829901</v>
      </c>
      <c r="H402" s="511"/>
    </row>
    <row r="403" spans="1:12">
      <c r="A403" s="529" t="s">
        <v>548</v>
      </c>
      <c r="B403" s="471" t="s">
        <v>426</v>
      </c>
      <c r="C403" s="568">
        <v>3.7037037037037035E-2</v>
      </c>
      <c r="D403" s="569">
        <f>'Salarios y transporte'!C3</f>
        <v>74948</v>
      </c>
      <c r="E403" s="570"/>
      <c r="F403" s="569">
        <f>+D403*C403</f>
        <v>2775.8518518518517</v>
      </c>
      <c r="G403" s="575">
        <f>+D403*C403</f>
        <v>2775.8518518518517</v>
      </c>
      <c r="H403" s="511"/>
      <c r="I403" s="559">
        <f>'ppto sistema septico'!V54</f>
        <v>891</v>
      </c>
      <c r="J403" s="540">
        <f>I403*F401</f>
        <v>9440847.8208000008</v>
      </c>
      <c r="K403" s="540">
        <f>I403*G401</f>
        <v>11234608.906752</v>
      </c>
      <c r="L403" s="540">
        <f>K403-J403</f>
        <v>1793761.0859519988</v>
      </c>
    </row>
    <row r="404" spans="1:12">
      <c r="A404" s="529" t="s">
        <v>419</v>
      </c>
      <c r="B404" s="471" t="s">
        <v>420</v>
      </c>
      <c r="C404" s="472">
        <v>0.05</v>
      </c>
      <c r="D404" s="522">
        <f>+G403</f>
        <v>2775.8518518518517</v>
      </c>
      <c r="E404" s="523"/>
      <c r="F404" s="522">
        <f>+D404*C404</f>
        <v>138.7925925925926</v>
      </c>
      <c r="G404" s="531">
        <f>+D404*C404</f>
        <v>138.7925925925926</v>
      </c>
      <c r="H404" s="511"/>
    </row>
    <row r="405" spans="1:12" ht="8.1" customHeight="1" thickBot="1">
      <c r="A405" s="529"/>
      <c r="B405" s="471"/>
      <c r="C405" s="472"/>
      <c r="D405" s="522"/>
      <c r="E405" s="523"/>
      <c r="F405" s="522"/>
      <c r="G405" s="378"/>
      <c r="H405" s="511"/>
    </row>
    <row r="406" spans="1:12" ht="24.75" customHeight="1" thickTop="1" thickBot="1">
      <c r="A406" s="379" t="s">
        <v>549</v>
      </c>
      <c r="B406" s="524"/>
      <c r="C406" s="525"/>
      <c r="D406" s="526"/>
      <c r="E406" s="527"/>
      <c r="F406" s="380">
        <f>SUM(F401:F405)</f>
        <v>13883.034062002744</v>
      </c>
      <c r="G406" s="381">
        <f>SUM(G401:G405)</f>
        <v>15896.233934002743</v>
      </c>
      <c r="H406" s="511"/>
    </row>
    <row r="407" spans="1:12" ht="14.25" thickTop="1" thickBot="1"/>
    <row r="408" spans="1:12" ht="30" customHeight="1" thickTop="1">
      <c r="A408" s="1308" t="s">
        <v>550</v>
      </c>
      <c r="B408" s="1309"/>
      <c r="C408" s="1309"/>
      <c r="D408" s="1309"/>
      <c r="E408" s="1309"/>
      <c r="F408" s="1309"/>
      <c r="G408" s="1310"/>
      <c r="H408" s="511"/>
    </row>
    <row r="409" spans="1:12">
      <c r="A409" s="562" t="s">
        <v>551</v>
      </c>
      <c r="B409" s="471" t="s">
        <v>97</v>
      </c>
      <c r="C409" s="530">
        <v>1.05</v>
      </c>
      <c r="D409" s="584">
        <f>+'Actualizacion de precios'!C39</f>
        <v>16530.13691392</v>
      </c>
      <c r="E409" s="564"/>
      <c r="F409" s="519">
        <f>+D409*C409/1.19</f>
        <v>14585.41492404706</v>
      </c>
      <c r="G409" s="573">
        <f>+C409*(D409)</f>
        <v>17356.643759615999</v>
      </c>
      <c r="H409" s="511"/>
      <c r="I409" s="559">
        <f>'ppto sistema septico'!V55</f>
        <v>91</v>
      </c>
      <c r="J409" s="540">
        <f>I409*(F409+F412+F413+F414)</f>
        <v>8662454.159315398</v>
      </c>
      <c r="K409" s="540">
        <f>I409*(G409+G412+G413+G414)</f>
        <v>10308320.449585324</v>
      </c>
      <c r="L409" s="490">
        <f>K409-J409</f>
        <v>1645866.2902699262</v>
      </c>
    </row>
    <row r="410" spans="1:12">
      <c r="A410" s="529" t="s">
        <v>435</v>
      </c>
      <c r="B410" s="471" t="s">
        <v>547</v>
      </c>
      <c r="C410" s="574">
        <v>1.001001001001001E-3</v>
      </c>
      <c r="D410" s="598">
        <f>'Salarios y transporte'!C28</f>
        <v>301806.66222222219</v>
      </c>
      <c r="E410" s="523"/>
      <c r="F410" s="522">
        <f>+C410*D410</f>
        <v>302.10877099321539</v>
      </c>
      <c r="G410" s="531">
        <f>+D410*C410</f>
        <v>302.10877099321539</v>
      </c>
      <c r="H410" s="511"/>
    </row>
    <row r="411" spans="1:12">
      <c r="A411" s="529" t="s">
        <v>552</v>
      </c>
      <c r="B411" s="471" t="s">
        <v>426</v>
      </c>
      <c r="C411" s="568">
        <v>3.7037037037037035E-2</v>
      </c>
      <c r="D411" s="569">
        <f>'Salarios y transporte'!C5</f>
        <v>218490</v>
      </c>
      <c r="E411" s="570"/>
      <c r="F411" s="569">
        <f>+D411*C411</f>
        <v>8092.2222222222217</v>
      </c>
      <c r="G411" s="575">
        <f>+D411*C411</f>
        <v>8092.2222222222217</v>
      </c>
      <c r="H411" s="511"/>
    </row>
    <row r="412" spans="1:12">
      <c r="A412" s="529" t="s">
        <v>553</v>
      </c>
      <c r="B412" s="471" t="s">
        <v>100</v>
      </c>
      <c r="C412" s="530">
        <v>2</v>
      </c>
      <c r="D412" s="522">
        <f>+'Actualizacion de precios'!C8</f>
        <v>6145.0277145600003</v>
      </c>
      <c r="E412" s="523"/>
      <c r="F412" s="522">
        <f>+D412*C412/1.19</f>
        <v>10327.777671529413</v>
      </c>
      <c r="G412" s="531">
        <f>+D412*C412</f>
        <v>12290.055429120001</v>
      </c>
      <c r="H412" s="511"/>
    </row>
    <row r="413" spans="1:12">
      <c r="A413" s="529" t="s">
        <v>554</v>
      </c>
      <c r="B413" s="471" t="s">
        <v>100</v>
      </c>
      <c r="C413" s="530">
        <v>2</v>
      </c>
      <c r="D413" s="522">
        <f>+'Actualizacion de precios'!C7</f>
        <v>36571.01185024</v>
      </c>
      <c r="E413" s="523"/>
      <c r="F413" s="522">
        <f>+D413*C413/1.19</f>
        <v>61463.885462588238</v>
      </c>
      <c r="G413" s="531">
        <f>+D413*C413</f>
        <v>73142.02370048</v>
      </c>
      <c r="H413" s="511"/>
    </row>
    <row r="414" spans="1:12">
      <c r="A414" s="529" t="s">
        <v>437</v>
      </c>
      <c r="B414" s="471" t="s">
        <v>438</v>
      </c>
      <c r="C414" s="530">
        <v>1.05</v>
      </c>
      <c r="D414" s="500">
        <f>'Actualizacion de precios'!C19</f>
        <v>11014</v>
      </c>
      <c r="E414" s="519">
        <f>G414-F414</f>
        <v>1674.7979191676659</v>
      </c>
      <c r="F414" s="519">
        <f>+D414/C414/1.19</f>
        <v>8814.7258903561433</v>
      </c>
      <c r="G414" s="531">
        <f>+D414/C414</f>
        <v>10489.523809523809</v>
      </c>
      <c r="H414" s="511"/>
      <c r="K414" s="490"/>
    </row>
    <row r="415" spans="1:12">
      <c r="A415" s="529" t="s">
        <v>419</v>
      </c>
      <c r="B415" s="471" t="s">
        <v>420</v>
      </c>
      <c r="C415" s="472">
        <v>0.05</v>
      </c>
      <c r="D415" s="522">
        <f>+G411</f>
        <v>8092.2222222222217</v>
      </c>
      <c r="E415" s="523"/>
      <c r="F415" s="522">
        <f>+D415*C415</f>
        <v>404.61111111111109</v>
      </c>
      <c r="G415" s="531">
        <f>+D415*C415</f>
        <v>404.61111111111109</v>
      </c>
      <c r="H415" s="511"/>
    </row>
    <row r="416" spans="1:12" ht="15" customHeight="1" thickBot="1">
      <c r="A416" s="529"/>
      <c r="B416" s="471"/>
      <c r="C416" s="472"/>
      <c r="D416" s="522"/>
      <c r="E416" s="523"/>
      <c r="F416" s="522"/>
      <c r="G416" s="378"/>
      <c r="H416" s="511"/>
    </row>
    <row r="417" spans="1:12" ht="24.75" customHeight="1" thickTop="1" thickBot="1">
      <c r="A417" s="379" t="s">
        <v>549</v>
      </c>
      <c r="B417" s="524"/>
      <c r="C417" s="525"/>
      <c r="D417" s="526"/>
      <c r="E417" s="527"/>
      <c r="F417" s="380">
        <f>SUM(F409:F416)</f>
        <v>103990.7460528474</v>
      </c>
      <c r="G417" s="381">
        <f>SUM(G409:G416)</f>
        <v>122077.18880306637</v>
      </c>
      <c r="H417" s="511"/>
    </row>
    <row r="418" spans="1:12" ht="14.25" thickTop="1" thickBot="1"/>
    <row r="419" spans="1:12" ht="30" customHeight="1" thickTop="1">
      <c r="A419" s="1308" t="s">
        <v>555</v>
      </c>
      <c r="B419" s="1309"/>
      <c r="C419" s="1309"/>
      <c r="D419" s="1309"/>
      <c r="E419" s="1309"/>
      <c r="F419" s="1309"/>
      <c r="G419" s="1310"/>
      <c r="H419" s="511"/>
    </row>
    <row r="420" spans="1:12">
      <c r="A420" s="562" t="s">
        <v>556</v>
      </c>
      <c r="B420" s="471" t="s">
        <v>557</v>
      </c>
      <c r="C420" s="530">
        <v>1.05</v>
      </c>
      <c r="D420" s="584">
        <f>+'Actualizacion de precios'!C47</f>
        <v>206900</v>
      </c>
      <c r="E420" s="564"/>
      <c r="F420" s="519">
        <f>+D420*C420/1.19</f>
        <v>182558.82352941178</v>
      </c>
      <c r="G420" s="573">
        <f>+C420*(D420)</f>
        <v>217245</v>
      </c>
      <c r="H420" s="511"/>
      <c r="I420" s="511"/>
      <c r="J420" s="540"/>
      <c r="K420" s="540"/>
      <c r="L420" s="490"/>
    </row>
    <row r="421" spans="1:12">
      <c r="A421" s="529" t="s">
        <v>435</v>
      </c>
      <c r="B421" s="471" t="s">
        <v>547</v>
      </c>
      <c r="C421" s="574">
        <v>1.001001001001001E-3</v>
      </c>
      <c r="D421" s="598">
        <f>'Salarios y transporte'!C28</f>
        <v>301806.66222222219</v>
      </c>
      <c r="E421" s="523"/>
      <c r="F421" s="522">
        <f>+C421*D421</f>
        <v>302.10877099321539</v>
      </c>
      <c r="G421" s="531">
        <f>+D421*C421</f>
        <v>302.10877099321539</v>
      </c>
      <c r="H421" s="511"/>
    </row>
    <row r="422" spans="1:12">
      <c r="A422" s="529" t="s">
        <v>548</v>
      </c>
      <c r="B422" s="471" t="s">
        <v>426</v>
      </c>
      <c r="C422" s="568">
        <v>3.7037037037037035E-2</v>
      </c>
      <c r="D422" s="569">
        <f>+'Salarios y transporte'!C3</f>
        <v>74948</v>
      </c>
      <c r="E422" s="570"/>
      <c r="F422" s="569">
        <f>+D422*C422</f>
        <v>2775.8518518518517</v>
      </c>
      <c r="G422" s="575">
        <f>+D422*C422</f>
        <v>2775.8518518518517</v>
      </c>
      <c r="H422" s="511"/>
      <c r="I422" s="559">
        <f>'ppto sistema septico'!V56</f>
        <v>1</v>
      </c>
      <c r="J422" s="540">
        <f>I422*F420</f>
        <v>182558.82352941178</v>
      </c>
      <c r="K422" s="540">
        <f>I422*G420</f>
        <v>217245</v>
      </c>
      <c r="L422" s="490">
        <f>K422-J422</f>
        <v>34686.176470588223</v>
      </c>
    </row>
    <row r="423" spans="1:12">
      <c r="A423" s="529" t="s">
        <v>419</v>
      </c>
      <c r="B423" s="471" t="s">
        <v>420</v>
      </c>
      <c r="C423" s="472">
        <v>0.05</v>
      </c>
      <c r="D423" s="522">
        <f>+G422</f>
        <v>2775.8518518518517</v>
      </c>
      <c r="E423" s="523"/>
      <c r="F423" s="522">
        <f>+D423*C423</f>
        <v>138.7925925925926</v>
      </c>
      <c r="G423" s="531">
        <f>+D423*C423</f>
        <v>138.7925925925926</v>
      </c>
      <c r="H423" s="511"/>
    </row>
    <row r="424" spans="1:12" ht="8.1" customHeight="1" thickBot="1">
      <c r="A424" s="529"/>
      <c r="B424" s="471"/>
      <c r="C424" s="472"/>
      <c r="D424" s="522"/>
      <c r="E424" s="523"/>
      <c r="F424" s="522"/>
      <c r="G424" s="378"/>
      <c r="H424" s="511"/>
    </row>
    <row r="425" spans="1:12" ht="24.75" customHeight="1" thickTop="1" thickBot="1">
      <c r="A425" s="379" t="s">
        <v>549</v>
      </c>
      <c r="B425" s="524"/>
      <c r="C425" s="525"/>
      <c r="D425" s="526"/>
      <c r="E425" s="527"/>
      <c r="F425" s="380">
        <f>SUM(F420:F424)</f>
        <v>185775.57674484944</v>
      </c>
      <c r="G425" s="381">
        <f>SUM(G420:G424)</f>
        <v>220461.75321543767</v>
      </c>
      <c r="H425" s="511"/>
    </row>
    <row r="426" spans="1:12" ht="24.75" customHeight="1" thickTop="1" thickBot="1">
      <c r="A426" s="382"/>
      <c r="B426" s="513"/>
      <c r="C426" s="518"/>
      <c r="D426" s="522"/>
      <c r="E426" s="523"/>
      <c r="F426" s="385"/>
      <c r="G426" s="603"/>
      <c r="H426" s="511"/>
    </row>
    <row r="427" spans="1:12" ht="45" customHeight="1" thickTop="1">
      <c r="A427" s="1321" t="s">
        <v>906</v>
      </c>
      <c r="B427" s="1322"/>
      <c r="C427" s="1323"/>
      <c r="D427" s="1322"/>
      <c r="E427" s="1322"/>
      <c r="F427" s="1322"/>
      <c r="G427" s="1324"/>
      <c r="H427" s="511"/>
    </row>
    <row r="428" spans="1:12">
      <c r="A428" s="469" t="s">
        <v>849</v>
      </c>
      <c r="B428" s="469" t="s">
        <v>440</v>
      </c>
      <c r="C428" s="555">
        <v>1.4</v>
      </c>
      <c r="D428" s="490">
        <f>+'Actualizacion de precios'!C63</f>
        <v>11066.666666666666</v>
      </c>
      <c r="E428" s="490">
        <f>+G428-F428</f>
        <v>2473.7254901960787</v>
      </c>
      <c r="F428" s="490">
        <f>+C428*(D428/1.19)</f>
        <v>13019.607843137253</v>
      </c>
      <c r="G428" s="490">
        <f>+C428*D428</f>
        <v>15493.333333333332</v>
      </c>
      <c r="I428" s="511">
        <f>+'ppto sistema septico'!V58</f>
        <v>1</v>
      </c>
      <c r="J428" s="490">
        <f>+I428*(F428+F429+F430+F431+F432+F433+F434+F435+F436+F437)</f>
        <v>126321.13170347339</v>
      </c>
      <c r="K428" s="490">
        <f>+I428*(G428+G429+G430+G431+G432+G433+G434+G435+G436+G437)</f>
        <v>150322.14672713337</v>
      </c>
      <c r="L428" s="490">
        <f>+K428-J428</f>
        <v>24001.015023659973</v>
      </c>
    </row>
    <row r="429" spans="1:12">
      <c r="A429" s="469" t="s">
        <v>837</v>
      </c>
      <c r="B429" s="469" t="s">
        <v>838</v>
      </c>
      <c r="C429" s="555">
        <v>1.7999999999999999E-2</v>
      </c>
      <c r="D429" s="490">
        <f>+'Actualizacion de precios'!C65</f>
        <v>370537.32</v>
      </c>
      <c r="E429" s="490">
        <f t="shared" ref="E429:E437" si="13">+G429-F429</f>
        <v>1064.9055751260503</v>
      </c>
      <c r="F429" s="490">
        <f t="shared" ref="F429:F437" si="14">+C429*(D429/1.19)</f>
        <v>5604.766184873949</v>
      </c>
      <c r="G429" s="490">
        <f t="shared" ref="G429:G441" si="15">+C429*D429</f>
        <v>6669.6717599999993</v>
      </c>
    </row>
    <row r="430" spans="1:12">
      <c r="A430" s="469" t="s">
        <v>839</v>
      </c>
      <c r="B430" s="469" t="s">
        <v>838</v>
      </c>
      <c r="C430" s="936">
        <v>3.5999999999999997E-2</v>
      </c>
      <c r="D430" s="490">
        <f>+'Actualizacion de precios'!C66</f>
        <v>407617.32</v>
      </c>
      <c r="E430" s="490">
        <f t="shared" si="13"/>
        <v>2342.9432510924362</v>
      </c>
      <c r="F430" s="490">
        <f t="shared" si="14"/>
        <v>12331.280268907563</v>
      </c>
      <c r="G430" s="490">
        <f t="shared" si="15"/>
        <v>14674.22352</v>
      </c>
    </row>
    <row r="431" spans="1:12">
      <c r="A431" s="469" t="s">
        <v>840</v>
      </c>
      <c r="B431" s="469" t="s">
        <v>838</v>
      </c>
      <c r="C431" s="936">
        <v>0.13200000000000001</v>
      </c>
      <c r="D431" s="490">
        <f>+'Actualizacion de precios'!C66</f>
        <v>407617.32</v>
      </c>
      <c r="E431" s="490">
        <f t="shared" si="13"/>
        <v>8590.7919206722654</v>
      </c>
      <c r="F431" s="490">
        <f t="shared" si="14"/>
        <v>45214.69431932774</v>
      </c>
      <c r="G431" s="490">
        <f t="shared" si="15"/>
        <v>53805.486240000006</v>
      </c>
    </row>
    <row r="432" spans="1:12">
      <c r="A432" s="469" t="s">
        <v>882</v>
      </c>
      <c r="B432" s="469" t="s">
        <v>838</v>
      </c>
      <c r="C432" s="936">
        <v>1.0125000000000002E-2</v>
      </c>
      <c r="D432" s="490">
        <f>+'Actualizacion de precios'!C66</f>
        <v>407617.32</v>
      </c>
      <c r="E432" s="490">
        <f t="shared" si="13"/>
        <v>658.95278936974773</v>
      </c>
      <c r="F432" s="490">
        <f t="shared" si="14"/>
        <v>3468.172575630253</v>
      </c>
      <c r="G432" s="490">
        <f t="shared" si="15"/>
        <v>4127.1253650000008</v>
      </c>
    </row>
    <row r="433" spans="1:7">
      <c r="A433" s="469" t="s">
        <v>841</v>
      </c>
      <c r="B433" s="469" t="s">
        <v>838</v>
      </c>
      <c r="C433" s="936">
        <v>3.2000000000000006E-3</v>
      </c>
      <c r="D433" s="490">
        <f>+'Actualizacion de precios'!C64</f>
        <v>353645.78399999999</v>
      </c>
      <c r="E433" s="490">
        <f t="shared" si="13"/>
        <v>180.68624930420174</v>
      </c>
      <c r="F433" s="490">
        <f t="shared" si="14"/>
        <v>950.98025949579846</v>
      </c>
      <c r="G433" s="490">
        <f t="shared" si="15"/>
        <v>1131.6665088000002</v>
      </c>
    </row>
    <row r="434" spans="1:7">
      <c r="A434" s="469" t="s">
        <v>848</v>
      </c>
      <c r="B434" s="469" t="s">
        <v>424</v>
      </c>
      <c r="C434" s="936">
        <v>7.1680000000000001</v>
      </c>
      <c r="D434" s="490">
        <f>+'Actualizacion de precios'!C61</f>
        <v>5267.8571428571431</v>
      </c>
      <c r="E434" s="490">
        <f t="shared" si="13"/>
        <v>6028.9075630252046</v>
      </c>
      <c r="F434" s="490">
        <f t="shared" si="14"/>
        <v>31731.092436974795</v>
      </c>
      <c r="G434" s="490">
        <f t="shared" si="15"/>
        <v>37760</v>
      </c>
    </row>
    <row r="435" spans="1:7">
      <c r="A435" s="469" t="s">
        <v>868</v>
      </c>
      <c r="B435" s="469" t="s">
        <v>424</v>
      </c>
      <c r="C435" s="936">
        <v>0.02</v>
      </c>
      <c r="D435" s="490">
        <f>+'Actualizacion de precios'!C59</f>
        <v>7858</v>
      </c>
      <c r="E435" s="490">
        <f t="shared" si="13"/>
        <v>25.092773109243694</v>
      </c>
      <c r="F435" s="490">
        <f t="shared" si="14"/>
        <v>132.0672268907563</v>
      </c>
      <c r="G435" s="490">
        <f t="shared" si="15"/>
        <v>157.16</v>
      </c>
    </row>
    <row r="436" spans="1:7">
      <c r="A436" s="469" t="s">
        <v>847</v>
      </c>
      <c r="B436" s="469" t="s">
        <v>424</v>
      </c>
      <c r="C436" s="936">
        <v>1.1759999999999999</v>
      </c>
      <c r="D436" s="490">
        <f>+'Actualizacion de precios'!C61</f>
        <v>5267.8571428571431</v>
      </c>
      <c r="E436" s="490">
        <f t="shared" si="13"/>
        <v>989.11764705882342</v>
      </c>
      <c r="F436" s="490">
        <f t="shared" si="14"/>
        <v>5205.8823529411766</v>
      </c>
      <c r="G436" s="490">
        <f t="shared" si="15"/>
        <v>6195</v>
      </c>
    </row>
    <row r="437" spans="1:7">
      <c r="A437" s="469" t="s">
        <v>876</v>
      </c>
      <c r="B437" s="469" t="s">
        <v>842</v>
      </c>
      <c r="C437" s="936">
        <v>2.08</v>
      </c>
      <c r="D437" s="490">
        <f>+'Actualizacion de precios'!C58</f>
        <v>4956</v>
      </c>
      <c r="E437" s="490">
        <f t="shared" si="13"/>
        <v>1645.8917647058806</v>
      </c>
      <c r="F437" s="490">
        <f t="shared" si="14"/>
        <v>8662.5882352941189</v>
      </c>
      <c r="G437" s="490">
        <f t="shared" si="15"/>
        <v>10308.48</v>
      </c>
    </row>
    <row r="438" spans="1:7">
      <c r="A438" s="469" t="s">
        <v>843</v>
      </c>
      <c r="B438" s="469" t="s">
        <v>844</v>
      </c>
      <c r="C438" s="936">
        <v>0.5</v>
      </c>
      <c r="D438" s="490">
        <f>+G440</f>
        <v>136556.25</v>
      </c>
      <c r="F438" s="490">
        <f>+C438*D438</f>
        <v>68278.125</v>
      </c>
      <c r="G438" s="490">
        <f t="shared" si="15"/>
        <v>68278.125</v>
      </c>
    </row>
    <row r="439" spans="1:7">
      <c r="A439" s="469" t="s">
        <v>850</v>
      </c>
      <c r="B439" s="469" t="s">
        <v>467</v>
      </c>
      <c r="C439" s="936">
        <v>2.4</v>
      </c>
      <c r="D439" s="490">
        <v>20818</v>
      </c>
      <c r="F439" s="490">
        <f>+C439*D439</f>
        <v>49963.199999999997</v>
      </c>
      <c r="G439" s="490">
        <f t="shared" si="15"/>
        <v>49963.199999999997</v>
      </c>
    </row>
    <row r="440" spans="1:7">
      <c r="A440" s="529" t="s">
        <v>851</v>
      </c>
      <c r="B440" s="469" t="s">
        <v>845</v>
      </c>
      <c r="C440" s="937">
        <v>5</v>
      </c>
      <c r="D440" s="938">
        <f>+'Salarios y transporte'!C5/8</f>
        <v>27311.25</v>
      </c>
      <c r="E440" s="938"/>
      <c r="F440" s="938">
        <f t="shared" ref="F440:F441" si="16">+C440*D440</f>
        <v>136556.25</v>
      </c>
      <c r="G440" s="938">
        <f t="shared" si="15"/>
        <v>136556.25</v>
      </c>
    </row>
    <row r="441" spans="1:7">
      <c r="A441" s="472" t="s">
        <v>435</v>
      </c>
      <c r="B441" s="469" t="s">
        <v>436</v>
      </c>
      <c r="C441" s="555">
        <v>0.1</v>
      </c>
      <c r="D441" s="598">
        <f>+'Salarios y transporte'!C28</f>
        <v>301806.66222222219</v>
      </c>
      <c r="F441" s="490">
        <f t="shared" si="16"/>
        <v>30180.666222222222</v>
      </c>
      <c r="G441" s="490">
        <f t="shared" si="15"/>
        <v>30180.666222222222</v>
      </c>
    </row>
    <row r="442" spans="1:7" ht="13.5" thickBot="1">
      <c r="A442" s="472"/>
      <c r="C442" s="555"/>
    </row>
    <row r="443" spans="1:7" ht="15.75" thickTop="1" thickBot="1">
      <c r="A443" s="379" t="s">
        <v>549</v>
      </c>
      <c r="F443" s="380">
        <f>+SUM(F428:F440)</f>
        <v>381118.70670347341</v>
      </c>
      <c r="G443" s="380">
        <f>+SUM(G428:G441)</f>
        <v>435300.38794935559</v>
      </c>
    </row>
    <row r="444" spans="1:7" ht="13.5" thickTop="1">
      <c r="A444" s="477" t="s">
        <v>558</v>
      </c>
      <c r="B444" s="507"/>
      <c r="C444" s="477" t="s">
        <v>406</v>
      </c>
      <c r="D444" s="508" t="s">
        <v>407</v>
      </c>
    </row>
    <row r="445" spans="1:7">
      <c r="A445" s="477"/>
      <c r="B445" s="509"/>
      <c r="C445" s="477" t="s">
        <v>408</v>
      </c>
      <c r="D445" s="508" t="s">
        <v>409</v>
      </c>
    </row>
  </sheetData>
  <sheetProtection algorithmName="SHA-512" hashValue="V2DOXANlyAHmh1fN809ZJYaFdCl7HpENSDhza8d8QSj2QGP2Ku8Z0AQQJRvR5UlSTzsWTsvN69m++mJL1n0W6A==" saltValue="No4zMxC/F245APxBhkg5bg==" spinCount="100000" sheet="1" formatCells="0" formatColumns="0" formatRows="0" insertColumns="0" insertRows="0" insertHyperlinks="0" deleteColumns="0" deleteRows="0" sort="0" autoFilter="0" pivotTables="0"/>
  <mergeCells count="42">
    <mergeCell ref="A427:G427"/>
    <mergeCell ref="A419:G419"/>
    <mergeCell ref="A106:G106"/>
    <mergeCell ref="A131:G131"/>
    <mergeCell ref="A156:G156"/>
    <mergeCell ref="A180:G180"/>
    <mergeCell ref="A204:G204"/>
    <mergeCell ref="A118:G118"/>
    <mergeCell ref="A144:G144"/>
    <mergeCell ref="A168:G168"/>
    <mergeCell ref="A408:G408"/>
    <mergeCell ref="A392:G392"/>
    <mergeCell ref="A400:G400"/>
    <mergeCell ref="A324:G324"/>
    <mergeCell ref="A336:G336"/>
    <mergeCell ref="A346:G346"/>
    <mergeCell ref="A372:G372"/>
    <mergeCell ref="A382:G382"/>
    <mergeCell ref="A311:G311"/>
    <mergeCell ref="A239:G239"/>
    <mergeCell ref="A295:G295"/>
    <mergeCell ref="A263:G263"/>
    <mergeCell ref="A287:G287"/>
    <mergeCell ref="A275:G275"/>
    <mergeCell ref="A192:G192"/>
    <mergeCell ref="A216:G216"/>
    <mergeCell ref="A228:G228"/>
    <mergeCell ref="A251:G251"/>
    <mergeCell ref="A362:G362"/>
    <mergeCell ref="A354:G354"/>
    <mergeCell ref="A1:G1"/>
    <mergeCell ref="A5:G5"/>
    <mergeCell ref="A11:G11"/>
    <mergeCell ref="A19:G19"/>
    <mergeCell ref="A25:G25"/>
    <mergeCell ref="A31:G31"/>
    <mergeCell ref="A51:G51"/>
    <mergeCell ref="A71:G71"/>
    <mergeCell ref="A82:G82"/>
    <mergeCell ref="A93:G93"/>
    <mergeCell ref="A61:G61"/>
    <mergeCell ref="A41:G41"/>
  </mergeCells>
  <printOptions horizontalCentered="1"/>
  <pageMargins left="0.78740157480314965" right="0.78740157480314965" top="1.1811023622047245" bottom="1.1811023622047245" header="0" footer="0"/>
  <pageSetup scale="57" fitToHeight="4" orientation="portrait" r:id="rId1"/>
  <headerFooter alignWithMargins="0">
    <oddFooter>&amp;R&amp;P/&amp;N</oddFooter>
  </headerFooter>
  <rowBreaks count="2" manualBreakCount="2">
    <brk id="81" max="6" man="1"/>
    <brk id="143" max="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H110"/>
  <sheetViews>
    <sheetView showGridLines="0" defaultGridColor="0" topLeftCell="A20" colorId="22" zoomScaleNormal="100" workbookViewId="0">
      <selection activeCell="F47" sqref="F47"/>
    </sheetView>
  </sheetViews>
  <sheetFormatPr baseColWidth="10" defaultColWidth="12" defaultRowHeight="16.350000000000001" customHeight="1"/>
  <cols>
    <col min="1" max="1" width="49.5" style="469" customWidth="1"/>
    <col min="2" max="2" width="12.6640625" style="469" customWidth="1"/>
    <col min="3" max="3" width="19.6640625" style="490" customWidth="1"/>
    <col min="4" max="4" width="54.33203125" style="469" customWidth="1"/>
    <col min="5" max="5" width="21.6640625" style="469" customWidth="1"/>
    <col min="6" max="6" width="21.5" style="469" customWidth="1"/>
    <col min="7" max="16384" width="12" style="469"/>
  </cols>
  <sheetData>
    <row r="1" spans="1:8" ht="16.350000000000001" customHeight="1">
      <c r="A1" s="1327" t="s">
        <v>559</v>
      </c>
      <c r="B1" s="1327"/>
      <c r="C1" s="1327"/>
    </row>
    <row r="2" spans="1:8" ht="16.350000000000001" customHeight="1">
      <c r="A2" s="716"/>
    </row>
    <row r="3" spans="1:8" ht="16.350000000000001" customHeight="1">
      <c r="A3" s="1326" t="s">
        <v>560</v>
      </c>
      <c r="B3" s="1326"/>
      <c r="C3" s="1326"/>
    </row>
    <row r="4" spans="1:8" s="478" customFormat="1" ht="48.75" customHeight="1">
      <c r="A4" s="486" t="s">
        <v>250</v>
      </c>
      <c r="B4" s="487" t="s">
        <v>411</v>
      </c>
      <c r="C4" s="488" t="s">
        <v>413</v>
      </c>
      <c r="E4" s="744"/>
      <c r="F4" s="478" t="s">
        <v>905</v>
      </c>
    </row>
    <row r="5" spans="1:8" ht="16.350000000000001" customHeight="1">
      <c r="A5" s="737" t="s">
        <v>434</v>
      </c>
      <c r="B5" s="738" t="s">
        <v>420</v>
      </c>
      <c r="C5" s="496">
        <v>20384.531686400001</v>
      </c>
      <c r="E5" s="477"/>
      <c r="F5" s="469" t="s">
        <v>561</v>
      </c>
      <c r="H5" s="592"/>
    </row>
    <row r="6" spans="1:8" ht="16.350000000000001" customHeight="1">
      <c r="A6" s="737" t="s">
        <v>434</v>
      </c>
      <c r="B6" s="738" t="s">
        <v>445</v>
      </c>
      <c r="C6" s="496">
        <v>5533.1209113599998</v>
      </c>
      <c r="H6" s="592"/>
    </row>
    <row r="7" spans="1:8" ht="16.350000000000001" customHeight="1">
      <c r="A7" s="739" t="s">
        <v>554</v>
      </c>
      <c r="B7" s="740" t="s">
        <v>100</v>
      </c>
      <c r="C7" s="496">
        <v>36571.01185024</v>
      </c>
      <c r="H7" s="592"/>
    </row>
    <row r="8" spans="1:8" ht="16.350000000000001" customHeight="1">
      <c r="A8" s="739" t="s">
        <v>553</v>
      </c>
      <c r="B8" s="740" t="s">
        <v>100</v>
      </c>
      <c r="C8" s="496">
        <v>6145.0277145600003</v>
      </c>
      <c r="H8" s="592"/>
    </row>
    <row r="9" spans="1:8" ht="16.350000000000001" customHeight="1">
      <c r="A9" s="493" t="s">
        <v>523</v>
      </c>
      <c r="B9" s="494" t="s">
        <v>100</v>
      </c>
      <c r="C9" s="496">
        <f>28314</f>
        <v>28314</v>
      </c>
      <c r="H9" s="592"/>
    </row>
    <row r="10" spans="1:8" ht="16.350000000000001" customHeight="1">
      <c r="A10" s="493" t="s">
        <v>519</v>
      </c>
      <c r="B10" s="494" t="s">
        <v>100</v>
      </c>
      <c r="C10" s="496">
        <f>7230</f>
        <v>7230</v>
      </c>
      <c r="H10" s="592"/>
    </row>
    <row r="11" spans="1:8" ht="16.350000000000001" customHeight="1">
      <c r="A11" s="493" t="s">
        <v>517</v>
      </c>
      <c r="B11" s="494" t="s">
        <v>100</v>
      </c>
      <c r="C11" s="496">
        <v>6846</v>
      </c>
      <c r="H11" s="592"/>
    </row>
    <row r="12" spans="1:8" ht="16.350000000000001" customHeight="1">
      <c r="A12" s="476" t="s">
        <v>462</v>
      </c>
      <c r="B12" s="491" t="s">
        <v>100</v>
      </c>
      <c r="C12" s="496">
        <v>12061</v>
      </c>
    </row>
    <row r="13" spans="1:8" ht="16.350000000000001" customHeight="1">
      <c r="A13" s="739" t="s">
        <v>512</v>
      </c>
      <c r="B13" s="740" t="s">
        <v>100</v>
      </c>
      <c r="C13" s="496">
        <v>19980</v>
      </c>
      <c r="E13" s="490"/>
    </row>
    <row r="14" spans="1:8" ht="16.350000000000001" customHeight="1">
      <c r="A14" s="476" t="s">
        <v>526</v>
      </c>
      <c r="B14" s="491" t="s">
        <v>97</v>
      </c>
      <c r="C14" s="496">
        <v>128187</v>
      </c>
      <c r="E14" s="490"/>
    </row>
    <row r="15" spans="1:8" ht="16.350000000000001" customHeight="1">
      <c r="A15" s="493" t="s">
        <v>463</v>
      </c>
      <c r="B15" s="494" t="s">
        <v>100</v>
      </c>
      <c r="C15" s="496">
        <v>0</v>
      </c>
    </row>
    <row r="16" spans="1:8" ht="16.350000000000001" customHeight="1">
      <c r="A16" s="493" t="s">
        <v>898</v>
      </c>
      <c r="B16" s="494" t="s">
        <v>424</v>
      </c>
      <c r="C16" s="492">
        <v>38590</v>
      </c>
      <c r="D16" s="490"/>
      <c r="E16" s="490"/>
    </row>
    <row r="17" spans="1:3" ht="16.350000000000001" customHeight="1">
      <c r="A17" s="493" t="s">
        <v>518</v>
      </c>
      <c r="B17" s="494" t="s">
        <v>100</v>
      </c>
      <c r="C17" s="492">
        <v>5631</v>
      </c>
    </row>
    <row r="18" spans="1:3" ht="16.350000000000001" customHeight="1">
      <c r="A18" s="493" t="s">
        <v>562</v>
      </c>
      <c r="B18" s="494" t="s">
        <v>100</v>
      </c>
      <c r="C18" s="492">
        <v>10674</v>
      </c>
    </row>
    <row r="19" spans="1:3" ht="16.350000000000001" customHeight="1">
      <c r="A19" s="493" t="s">
        <v>437</v>
      </c>
      <c r="B19" s="494" t="s">
        <v>438</v>
      </c>
      <c r="C19" s="492">
        <f>(3957+7057)</f>
        <v>11014</v>
      </c>
    </row>
    <row r="20" spans="1:3" ht="16.350000000000001" customHeight="1">
      <c r="A20" s="493" t="s">
        <v>537</v>
      </c>
      <c r="B20" s="494" t="s">
        <v>420</v>
      </c>
      <c r="C20" s="492">
        <f>23666+10452</f>
        <v>34118</v>
      </c>
    </row>
    <row r="21" spans="1:3" ht="16.350000000000001" customHeight="1">
      <c r="A21" s="493" t="s">
        <v>536</v>
      </c>
      <c r="B21" s="494" t="s">
        <v>100</v>
      </c>
      <c r="C21" s="492">
        <v>12048</v>
      </c>
    </row>
    <row r="22" spans="1:3" ht="16.350000000000001" customHeight="1">
      <c r="A22" s="493" t="s">
        <v>540</v>
      </c>
      <c r="B22" s="494" t="s">
        <v>100</v>
      </c>
      <c r="C22" s="496">
        <v>35394</v>
      </c>
    </row>
    <row r="23" spans="1:3" ht="16.350000000000001" customHeight="1">
      <c r="A23" s="493" t="s">
        <v>539</v>
      </c>
      <c r="B23" s="494" t="s">
        <v>100</v>
      </c>
      <c r="C23" s="492">
        <v>31853</v>
      </c>
    </row>
    <row r="24" spans="1:3" ht="16.350000000000001" customHeight="1">
      <c r="A24" s="476" t="s">
        <v>451</v>
      </c>
      <c r="B24" s="491" t="s">
        <v>100</v>
      </c>
      <c r="C24" s="492">
        <v>10371</v>
      </c>
    </row>
    <row r="25" spans="1:3" ht="16.350000000000001" customHeight="1">
      <c r="A25" s="476" t="s">
        <v>457</v>
      </c>
      <c r="B25" s="491" t="s">
        <v>100</v>
      </c>
      <c r="C25" s="492">
        <v>18265</v>
      </c>
    </row>
    <row r="26" spans="1:3" ht="16.350000000000001" customHeight="1">
      <c r="A26" s="476" t="s">
        <v>461</v>
      </c>
      <c r="B26" s="491" t="s">
        <v>100</v>
      </c>
      <c r="C26" s="492">
        <v>3200</v>
      </c>
    </row>
    <row r="27" spans="1:3" ht="16.350000000000001" customHeight="1">
      <c r="A27" s="497" t="s">
        <v>452</v>
      </c>
      <c r="B27" s="498" t="s">
        <v>100</v>
      </c>
      <c r="C27" s="492">
        <v>10809</v>
      </c>
    </row>
    <row r="28" spans="1:3" ht="16.350000000000001" customHeight="1">
      <c r="A28" s="497" t="s">
        <v>458</v>
      </c>
      <c r="B28" s="498" t="s">
        <v>100</v>
      </c>
      <c r="C28" s="492">
        <v>20016</v>
      </c>
    </row>
    <row r="29" spans="1:3" ht="16.350000000000001" customHeight="1">
      <c r="A29" s="476" t="s">
        <v>450</v>
      </c>
      <c r="B29" s="491" t="s">
        <v>100</v>
      </c>
      <c r="C29" s="492">
        <v>13459</v>
      </c>
    </row>
    <row r="30" spans="1:3" ht="16.350000000000001" customHeight="1">
      <c r="A30" s="476" t="s">
        <v>456</v>
      </c>
      <c r="B30" s="491" t="s">
        <v>100</v>
      </c>
      <c r="C30" s="496">
        <v>29417</v>
      </c>
    </row>
    <row r="31" spans="1:3" ht="16.350000000000001" customHeight="1">
      <c r="A31" s="493" t="s">
        <v>433</v>
      </c>
      <c r="B31" s="494" t="s">
        <v>97</v>
      </c>
      <c r="C31" s="492">
        <f>90729/6</f>
        <v>15121.5</v>
      </c>
    </row>
    <row r="32" spans="1:3" ht="16.350000000000001" customHeight="1">
      <c r="A32" s="476" t="s">
        <v>444</v>
      </c>
      <c r="B32" s="491" t="s">
        <v>97</v>
      </c>
      <c r="C32" s="492">
        <f>135516/6</f>
        <v>22586</v>
      </c>
    </row>
    <row r="33" spans="1:8" ht="16.350000000000001" customHeight="1">
      <c r="A33" s="476" t="s">
        <v>802</v>
      </c>
      <c r="B33" s="491" t="s">
        <v>97</v>
      </c>
      <c r="C33" s="492">
        <f>190589/6</f>
        <v>31764.833333333332</v>
      </c>
    </row>
    <row r="34" spans="1:8" ht="16.350000000000001" customHeight="1">
      <c r="A34" s="499" t="s">
        <v>515</v>
      </c>
      <c r="B34" s="494" t="s">
        <v>100</v>
      </c>
      <c r="C34" s="492">
        <v>64541</v>
      </c>
    </row>
    <row r="35" spans="1:8" ht="16.350000000000001" customHeight="1">
      <c r="A35" s="493" t="s">
        <v>513</v>
      </c>
      <c r="B35" s="494" t="s">
        <v>100</v>
      </c>
      <c r="C35" s="496">
        <v>26582.714941439997</v>
      </c>
      <c r="H35" s="592"/>
    </row>
    <row r="36" spans="1:8" ht="16.350000000000001" customHeight="1">
      <c r="A36" s="739" t="s">
        <v>511</v>
      </c>
      <c r="B36" s="740" t="s">
        <v>100</v>
      </c>
      <c r="C36" s="496">
        <v>38328.85321216</v>
      </c>
      <c r="H36" s="592"/>
    </row>
    <row r="37" spans="1:8" ht="16.350000000000001" customHeight="1">
      <c r="A37" s="493" t="s">
        <v>520</v>
      </c>
      <c r="B37" s="494" t="s">
        <v>100</v>
      </c>
      <c r="C37" s="496">
        <v>3251</v>
      </c>
      <c r="H37" s="592"/>
    </row>
    <row r="38" spans="1:8" ht="16.350000000000001" customHeight="1">
      <c r="A38" s="742" t="s">
        <v>472</v>
      </c>
      <c r="B38" s="494" t="s">
        <v>100</v>
      </c>
      <c r="C38" s="897">
        <v>4693</v>
      </c>
    </row>
    <row r="39" spans="1:8" ht="16.350000000000001" customHeight="1">
      <c r="A39" s="743" t="s">
        <v>551</v>
      </c>
      <c r="B39" s="741" t="s">
        <v>97</v>
      </c>
      <c r="C39" s="496">
        <v>16530.13691392</v>
      </c>
      <c r="H39" s="592"/>
    </row>
    <row r="40" spans="1:8" ht="16.350000000000001" customHeight="1">
      <c r="A40" s="1325" t="s">
        <v>563</v>
      </c>
      <c r="B40" s="1325"/>
      <c r="C40" s="1325"/>
      <c r="D40" s="1325"/>
    </row>
    <row r="41" spans="1:8" ht="27.6" customHeight="1">
      <c r="A41" s="486" t="s">
        <v>410</v>
      </c>
      <c r="B41" s="487" t="s">
        <v>411</v>
      </c>
      <c r="C41" s="488" t="s">
        <v>413</v>
      </c>
      <c r="D41" s="486" t="s">
        <v>564</v>
      </c>
    </row>
    <row r="42" spans="1:8" ht="27.75" customHeight="1">
      <c r="A42" s="743" t="str">
        <f>+'A.P.U. 2024'!A392:G392</f>
        <v>S.T.I. GEOTEXTIL NT REFERENCIA 1600 (m2)</v>
      </c>
      <c r="B42" s="491" t="s">
        <v>130</v>
      </c>
      <c r="C42" s="495">
        <v>5498</v>
      </c>
      <c r="D42" s="505" t="s">
        <v>800</v>
      </c>
      <c r="F42" s="490"/>
    </row>
    <row r="43" spans="1:8" s="403" customFormat="1" ht="42.75" customHeight="1">
      <c r="A43" s="503" t="str">
        <f>+'A.P.U. 2024'!A400:G400</f>
        <v>S.T.I. CAJAS PLÁSTICAS DE GASEOSA RECICLADAS DE 0,41mx0,34mx0,25m COMO MEDIO DE SOPORTE (m3)</v>
      </c>
      <c r="B43" s="494" t="s">
        <v>100</v>
      </c>
      <c r="C43" s="489">
        <v>12608.988671999999</v>
      </c>
      <c r="D43" s="505" t="s">
        <v>801</v>
      </c>
      <c r="E43" s="589"/>
      <c r="F43" s="402"/>
    </row>
    <row r="44" spans="1:8" s="403" customFormat="1" ht="30" customHeight="1">
      <c r="A44" s="493" t="s">
        <v>535</v>
      </c>
      <c r="B44" s="494" t="s">
        <v>100</v>
      </c>
      <c r="C44" s="495">
        <v>20153.02555334822</v>
      </c>
      <c r="D44" s="505" t="s">
        <v>801</v>
      </c>
      <c r="F44" s="402"/>
    </row>
    <row r="45" spans="1:8" s="403" customFormat="1" ht="38.65" customHeight="1">
      <c r="A45" s="501" t="s">
        <v>899</v>
      </c>
      <c r="B45" s="491" t="s">
        <v>100</v>
      </c>
      <c r="C45" s="496">
        <v>110344.02710609847</v>
      </c>
      <c r="D45" s="505" t="s">
        <v>801</v>
      </c>
      <c r="E45" s="589"/>
      <c r="F45" s="402"/>
    </row>
    <row r="46" spans="1:8" s="403" customFormat="1" ht="30.6" customHeight="1">
      <c r="A46" s="476" t="s">
        <v>510</v>
      </c>
      <c r="B46" s="491" t="s">
        <v>91</v>
      </c>
      <c r="C46" s="496">
        <v>1052024.1037294716</v>
      </c>
      <c r="D46" s="505" t="s">
        <v>565</v>
      </c>
      <c r="F46" s="402"/>
    </row>
    <row r="47" spans="1:8" s="403" customFormat="1" ht="41.65" customHeight="1">
      <c r="A47" s="499" t="s">
        <v>556</v>
      </c>
      <c r="B47" s="494" t="s">
        <v>557</v>
      </c>
      <c r="C47" s="489">
        <v>206900</v>
      </c>
      <c r="D47" s="590" t="s">
        <v>566</v>
      </c>
      <c r="E47" s="589"/>
      <c r="F47" s="402"/>
    </row>
    <row r="48" spans="1:8" ht="51" customHeight="1">
      <c r="A48" s="493" t="s">
        <v>530</v>
      </c>
      <c r="B48" s="494" t="s">
        <v>97</v>
      </c>
      <c r="C48" s="495">
        <v>7184.1549482808987</v>
      </c>
      <c r="D48" s="505" t="s">
        <v>801</v>
      </c>
      <c r="F48" s="402"/>
    </row>
    <row r="49" spans="1:6" ht="56.65" customHeight="1">
      <c r="A49" s="493" t="s">
        <v>533</v>
      </c>
      <c r="B49" s="494" t="s">
        <v>97</v>
      </c>
      <c r="C49" s="495">
        <v>14684.489697194162</v>
      </c>
      <c r="D49" s="505" t="s">
        <v>801</v>
      </c>
      <c r="F49" s="402"/>
    </row>
    <row r="50" spans="1:6" ht="21.6" customHeight="1">
      <c r="A50" s="499" t="s">
        <v>522</v>
      </c>
      <c r="B50" s="494" t="s">
        <v>100</v>
      </c>
      <c r="C50" s="736">
        <v>85093</v>
      </c>
      <c r="D50" s="590" t="s">
        <v>567</v>
      </c>
      <c r="E50" s="589"/>
      <c r="F50" s="402"/>
    </row>
    <row r="51" spans="1:6" ht="36.75" customHeight="1">
      <c r="A51" s="501" t="s">
        <v>527</v>
      </c>
      <c r="B51" s="502" t="s">
        <v>100</v>
      </c>
      <c r="C51" s="489">
        <v>101273.66636799999</v>
      </c>
      <c r="D51" s="591" t="s">
        <v>568</v>
      </c>
      <c r="E51" s="589"/>
      <c r="F51" s="402"/>
    </row>
    <row r="52" spans="1:6" ht="45.75" customHeight="1">
      <c r="A52" s="709" t="s">
        <v>508</v>
      </c>
      <c r="B52" s="494" t="s">
        <v>100</v>
      </c>
      <c r="C52" s="496">
        <v>329900</v>
      </c>
      <c r="D52" s="504" t="s">
        <v>569</v>
      </c>
      <c r="F52" s="402"/>
    </row>
    <row r="53" spans="1:6" ht="27" customHeight="1">
      <c r="A53" s="493" t="s">
        <v>570</v>
      </c>
      <c r="B53" s="494" t="s">
        <v>91</v>
      </c>
      <c r="C53" s="496">
        <v>13660</v>
      </c>
      <c r="D53" s="504" t="s">
        <v>565</v>
      </c>
      <c r="F53" s="402"/>
    </row>
    <row r="54" spans="1:6" ht="27" customHeight="1">
      <c r="A54" s="493" t="s">
        <v>872</v>
      </c>
      <c r="B54" s="494" t="s">
        <v>424</v>
      </c>
      <c r="C54" s="496">
        <v>618</v>
      </c>
      <c r="D54" s="504" t="s">
        <v>873</v>
      </c>
      <c r="F54" s="402"/>
    </row>
    <row r="55" spans="1:6" ht="27" customHeight="1">
      <c r="A55" s="493" t="s">
        <v>863</v>
      </c>
      <c r="B55" s="494" t="s">
        <v>91</v>
      </c>
      <c r="C55" s="496">
        <v>169900</v>
      </c>
      <c r="D55" s="493" t="s">
        <v>877</v>
      </c>
      <c r="F55" s="402"/>
    </row>
    <row r="56" spans="1:6" ht="27" customHeight="1">
      <c r="A56" s="493" t="s">
        <v>864</v>
      </c>
      <c r="B56" s="494" t="s">
        <v>91</v>
      </c>
      <c r="C56" s="496">
        <v>110000</v>
      </c>
      <c r="D56" s="493" t="s">
        <v>877</v>
      </c>
      <c r="F56" s="402"/>
    </row>
    <row r="57" spans="1:6" ht="27" customHeight="1">
      <c r="A57" s="493" t="s">
        <v>865</v>
      </c>
      <c r="B57" s="494" t="s">
        <v>91</v>
      </c>
      <c r="C57" s="496">
        <v>169900</v>
      </c>
      <c r="D57" s="493" t="s">
        <v>877</v>
      </c>
      <c r="F57" s="402"/>
    </row>
    <row r="58" spans="1:6" ht="27" customHeight="1">
      <c r="A58" s="493" t="s">
        <v>883</v>
      </c>
      <c r="B58" s="494" t="s">
        <v>424</v>
      </c>
      <c r="C58" s="496">
        <f>123900/25</f>
        <v>4956</v>
      </c>
      <c r="D58" s="973" t="s">
        <v>874</v>
      </c>
      <c r="F58" s="402"/>
    </row>
    <row r="59" spans="1:6" ht="27" customHeight="1">
      <c r="A59" s="493" t="s">
        <v>866</v>
      </c>
      <c r="B59" s="494" t="s">
        <v>424</v>
      </c>
      <c r="C59" s="496">
        <v>7858</v>
      </c>
      <c r="D59" s="973" t="s">
        <v>879</v>
      </c>
      <c r="F59" s="402"/>
    </row>
    <row r="60" spans="1:6" ht="27" customHeight="1">
      <c r="A60" s="493" t="s">
        <v>867</v>
      </c>
      <c r="B60" s="494" t="s">
        <v>91</v>
      </c>
      <c r="C60" s="496">
        <v>2734.46</v>
      </c>
      <c r="D60" s="973" t="s">
        <v>875</v>
      </c>
      <c r="F60" s="402"/>
    </row>
    <row r="61" spans="1:6" ht="28.9" customHeight="1">
      <c r="A61" s="493" t="s">
        <v>871</v>
      </c>
      <c r="B61" s="494" t="s">
        <v>440</v>
      </c>
      <c r="C61" s="496">
        <f>17700/3.36</f>
        <v>5267.8571428571431</v>
      </c>
      <c r="D61" s="973" t="s">
        <v>881</v>
      </c>
    </row>
    <row r="62" spans="1:6" ht="27.6" customHeight="1">
      <c r="A62" s="493" t="s">
        <v>869</v>
      </c>
      <c r="B62" s="494" t="s">
        <v>130</v>
      </c>
      <c r="C62" s="496">
        <f>83900/14</f>
        <v>5992.8571428571431</v>
      </c>
      <c r="D62" s="973" t="s">
        <v>878</v>
      </c>
    </row>
    <row r="63" spans="1:6" ht="27.6" customHeight="1">
      <c r="A63" s="493" t="s">
        <v>870</v>
      </c>
      <c r="B63" s="494" t="s">
        <v>440</v>
      </c>
      <c r="C63" s="496">
        <f>66400/6</f>
        <v>11066.666666666666</v>
      </c>
      <c r="D63" s="973" t="s">
        <v>880</v>
      </c>
    </row>
    <row r="64" spans="1:6" ht="27.6" customHeight="1">
      <c r="A64" s="493" t="s">
        <v>893</v>
      </c>
      <c r="B64" s="972" t="s">
        <v>892</v>
      </c>
      <c r="C64" s="496">
        <f>+C60*0.4+C56*1.16+C54*364</f>
        <v>353645.78399999999</v>
      </c>
      <c r="D64" s="493" t="s">
        <v>897</v>
      </c>
    </row>
    <row r="65" spans="1:5" ht="27.6" customHeight="1">
      <c r="A65" s="493" t="s">
        <v>894</v>
      </c>
      <c r="B65" s="972" t="s">
        <v>895</v>
      </c>
      <c r="C65" s="495">
        <f>+C54*300+C55*0.42+C57*0.63+C67*0.13</f>
        <v>370537.32</v>
      </c>
      <c r="D65" s="493" t="s">
        <v>897</v>
      </c>
    </row>
    <row r="66" spans="1:5" ht="27.6" customHeight="1">
      <c r="A66" s="493" t="s">
        <v>894</v>
      </c>
      <c r="B66" s="972" t="s">
        <v>896</v>
      </c>
      <c r="C66" s="495">
        <f>+C54*360+C55*0.42+C57*0.63+C67*0.13</f>
        <v>407617.32</v>
      </c>
      <c r="D66" s="493" t="s">
        <v>897</v>
      </c>
    </row>
    <row r="67" spans="1:5" ht="27.6" customHeight="1">
      <c r="A67" s="493" t="s">
        <v>846</v>
      </c>
      <c r="B67" s="494" t="s">
        <v>426</v>
      </c>
      <c r="C67" s="495">
        <v>51864</v>
      </c>
      <c r="D67" s="493" t="s">
        <v>897</v>
      </c>
    </row>
    <row r="68" spans="1:5" ht="27.6" customHeight="1">
      <c r="A68" s="472"/>
      <c r="B68" s="471"/>
      <c r="C68" s="592"/>
      <c r="D68" s="974"/>
    </row>
    <row r="69" spans="1:5" ht="16.5" customHeight="1">
      <c r="A69" s="472" t="s">
        <v>522</v>
      </c>
      <c r="B69" s="472"/>
      <c r="C69" s="472"/>
      <c r="D69" s="472"/>
      <c r="E69" s="472"/>
    </row>
    <row r="70" spans="1:5" ht="16.5" customHeight="1">
      <c r="A70" s="472" t="s">
        <v>901</v>
      </c>
      <c r="B70" s="471"/>
      <c r="C70" s="592"/>
      <c r="D70" s="593"/>
    </row>
    <row r="71" spans="1:5" ht="16.5" customHeight="1">
      <c r="A71" s="472"/>
      <c r="B71" s="471"/>
      <c r="C71" s="592"/>
      <c r="D71" s="593"/>
    </row>
    <row r="72" spans="1:5" ht="16.5" customHeight="1">
      <c r="A72" s="472"/>
      <c r="B72" s="471"/>
      <c r="C72" s="592"/>
      <c r="D72" s="593"/>
    </row>
    <row r="73" spans="1:5" ht="16.5" customHeight="1">
      <c r="A73" s="472"/>
      <c r="B73" s="471"/>
      <c r="C73" s="592"/>
      <c r="D73" s="593"/>
    </row>
    <row r="74" spans="1:5" ht="16.5" customHeight="1">
      <c r="A74" s="472"/>
      <c r="B74" s="471"/>
      <c r="C74" s="592"/>
      <c r="D74" s="593"/>
    </row>
    <row r="75" spans="1:5" ht="16.5" customHeight="1">
      <c r="A75" s="472"/>
      <c r="B75" s="471"/>
      <c r="C75" s="592"/>
      <c r="D75" s="593"/>
    </row>
    <row r="76" spans="1:5" ht="16.5" customHeight="1">
      <c r="A76" s="472"/>
      <c r="B76" s="471"/>
      <c r="C76" s="592"/>
      <c r="D76" s="593"/>
    </row>
    <row r="77" spans="1:5" ht="16.5" customHeight="1">
      <c r="A77" s="472"/>
      <c r="B77" s="471"/>
      <c r="C77" s="592"/>
      <c r="D77" s="593"/>
    </row>
    <row r="78" spans="1:5" ht="16.5" customHeight="1">
      <c r="A78" s="472"/>
      <c r="B78" s="471"/>
      <c r="C78" s="592"/>
      <c r="D78" s="593"/>
    </row>
    <row r="79" spans="1:5" ht="16.5" customHeight="1">
      <c r="A79" s="472"/>
      <c r="B79" s="471"/>
      <c r="C79" s="592"/>
      <c r="D79" s="593"/>
    </row>
    <row r="80" spans="1:5" ht="16.5" customHeight="1">
      <c r="A80" s="472"/>
      <c r="B80" s="471"/>
      <c r="C80" s="592"/>
      <c r="D80" s="593"/>
    </row>
    <row r="81" spans="1:4" ht="16.5" customHeight="1">
      <c r="A81" s="472"/>
      <c r="B81" s="471"/>
      <c r="C81" s="592"/>
      <c r="D81" s="593"/>
    </row>
    <row r="82" spans="1:4" ht="16.5" customHeight="1">
      <c r="A82" s="472"/>
      <c r="B82" s="471"/>
      <c r="C82" s="592"/>
      <c r="D82" s="593"/>
    </row>
    <row r="83" spans="1:4" ht="35.65" customHeight="1">
      <c r="A83" s="606" t="s">
        <v>900</v>
      </c>
      <c r="C83" s="469"/>
    </row>
    <row r="84" spans="1:4" ht="16.350000000000001" customHeight="1">
      <c r="C84" s="469"/>
    </row>
    <row r="85" spans="1:4" ht="16.350000000000001" customHeight="1">
      <c r="C85" s="469"/>
    </row>
    <row r="86" spans="1:4" ht="16.350000000000001" customHeight="1">
      <c r="C86" s="469"/>
    </row>
    <row r="101" spans="1:1" ht="69.599999999999994" customHeight="1"/>
    <row r="102" spans="1:1" ht="16.350000000000001" customHeight="1">
      <c r="A102" s="469" t="s">
        <v>556</v>
      </c>
    </row>
    <row r="103" spans="1:1" ht="16.350000000000001" customHeight="1">
      <c r="A103" s="469" t="s">
        <v>808</v>
      </c>
    </row>
    <row r="110" spans="1:1" ht="16.5" customHeight="1"/>
  </sheetData>
  <sheetProtection algorithmName="SHA-512" hashValue="0B3eN/PmuFTCx4oxK8M52g8sAPxbv9fd4dG0nczH/QkUJJOS1C1+6OcVQQJhqXwIr1JZZYHDxHnLCfGtQmjV0w==" saltValue="Y5/0L4OzqwOmsXPL+j0zpA==" spinCount="100000" sheet="1" formatCells="0" formatColumns="0" formatRows="0" insertColumns="0" insertRows="0" insertHyperlinks="0" deleteColumns="0" deleteRows="0" sort="0" autoFilter="0" pivotTables="0"/>
  <autoFilter ref="A3:F53" xr:uid="{00000000-0009-0000-0000-000006000000}">
    <filterColumn colId="0" showButton="0"/>
    <filterColumn colId="1" showButton="0"/>
  </autoFilter>
  <sortState xmlns:xlrd2="http://schemas.microsoft.com/office/spreadsheetml/2017/richdata2" ref="A41:C52">
    <sortCondition ref="A41:A52"/>
  </sortState>
  <mergeCells count="3">
    <mergeCell ref="A40:D40"/>
    <mergeCell ref="A3:C3"/>
    <mergeCell ref="A1:C1"/>
  </mergeCells>
  <hyperlinks>
    <hyperlink ref="D50" r:id="rId1" xr:uid="{00000000-0004-0000-0600-000000000000}"/>
    <hyperlink ref="D47" r:id="rId2" xr:uid="{00000000-0004-0000-0600-000001000000}"/>
    <hyperlink ref="D52" r:id="rId3" xr:uid="{00000000-0004-0000-0600-000002000000}"/>
    <hyperlink ref="D54" r:id="rId4" xr:uid="{00000000-0004-0000-0600-000003000000}"/>
    <hyperlink ref="D58" r:id="rId5" xr:uid="{00000000-0004-0000-0600-000004000000}"/>
    <hyperlink ref="D60" r:id="rId6" xr:uid="{00000000-0004-0000-0600-000005000000}"/>
    <hyperlink ref="D62" r:id="rId7" xr:uid="{00000000-0004-0000-0600-000006000000}"/>
    <hyperlink ref="D59" r:id="rId8" xr:uid="{00000000-0004-0000-0600-000007000000}"/>
    <hyperlink ref="D63" r:id="rId9" xr:uid="{00000000-0004-0000-0600-000008000000}"/>
    <hyperlink ref="D61" r:id="rId10" xr:uid="{00000000-0004-0000-0600-000009000000}"/>
  </hyperlinks>
  <printOptions horizontalCentered="1"/>
  <pageMargins left="0.78740157480314965" right="0.78740157480314965" top="1.1811023622047245" bottom="1.1811023622047245" header="0" footer="0"/>
  <pageSetup scale="57" fitToHeight="4" orientation="portrait" r:id="rId11"/>
  <headerFooter alignWithMargins="0">
    <oddFooter>&amp;R&amp;P/&amp;N</oddFooter>
  </headerFooter>
  <drawing r:id="rId12"/>
  <legacyDrawing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G41"/>
  <sheetViews>
    <sheetView showGridLines="0" tabSelected="1" topLeftCell="A6" zoomScaleNormal="100" workbookViewId="0">
      <selection activeCell="G6" sqref="G6"/>
    </sheetView>
  </sheetViews>
  <sheetFormatPr baseColWidth="10" defaultColWidth="11.33203125" defaultRowHeight="12.75"/>
  <cols>
    <col min="1" max="1" width="59.1640625" style="481" customWidth="1"/>
    <col min="2" max="2" width="20.6640625" style="748" customWidth="1"/>
    <col min="3" max="3" width="19.6640625" style="748" customWidth="1"/>
    <col min="4" max="4" width="21.5" style="482" customWidth="1"/>
    <col min="5" max="16384" width="11.33203125" style="482"/>
  </cols>
  <sheetData>
    <row r="1" spans="1:7" ht="21" customHeight="1">
      <c r="A1" s="1332" t="s">
        <v>571</v>
      </c>
      <c r="B1" s="1333"/>
      <c r="C1" s="1333"/>
    </row>
    <row r="2" spans="1:7" ht="21" customHeight="1">
      <c r="A2" s="482"/>
      <c r="B2" s="482"/>
      <c r="C2" s="482"/>
    </row>
    <row r="3" spans="1:7" ht="16.5" customHeight="1">
      <c r="A3" s="1328" t="s">
        <v>822</v>
      </c>
      <c r="B3" s="1329"/>
      <c r="C3" s="1330"/>
    </row>
    <row r="4" spans="1:7">
      <c r="A4" s="484" t="s">
        <v>572</v>
      </c>
      <c r="B4" s="483" t="s">
        <v>823</v>
      </c>
      <c r="C4" s="599" t="s">
        <v>824</v>
      </c>
      <c r="D4" s="929" t="s">
        <v>821</v>
      </c>
    </row>
    <row r="5" spans="1:7" ht="89.25" customHeight="1">
      <c r="A5" s="479" t="s">
        <v>573</v>
      </c>
      <c r="B5" s="749">
        <v>3363362.0221476713</v>
      </c>
      <c r="C5" s="750">
        <v>3661143.1935390402</v>
      </c>
      <c r="D5" s="931">
        <f>+((C5-B5)/B5)</f>
        <v>8.853675858575015E-2</v>
      </c>
    </row>
    <row r="6" spans="1:7" ht="93" customHeight="1">
      <c r="A6" s="479" t="s">
        <v>574</v>
      </c>
      <c r="B6" s="749">
        <v>4185235.3125901576</v>
      </c>
      <c r="C6" s="750">
        <v>4939807.730770627</v>
      </c>
      <c r="D6" s="931">
        <f t="shared" ref="D6:D14" si="0">+((C6-B6)/B6)</f>
        <v>0.18029390507877555</v>
      </c>
      <c r="G6" s="482" t="s">
        <v>575</v>
      </c>
    </row>
    <row r="7" spans="1:7" ht="99" customHeight="1">
      <c r="A7" s="479" t="s">
        <v>576</v>
      </c>
      <c r="B7" s="749">
        <v>5849730.8671653224</v>
      </c>
      <c r="C7" s="750">
        <v>6465339.6024664547</v>
      </c>
      <c r="D7" s="931">
        <f t="shared" si="0"/>
        <v>0.10523710394209052</v>
      </c>
    </row>
    <row r="8" spans="1:7" ht="97.35" customHeight="1">
      <c r="A8" s="479" t="s">
        <v>577</v>
      </c>
      <c r="B8" s="749">
        <v>8197169.8248474048</v>
      </c>
      <c r="C8" s="750">
        <v>10002386.607526038</v>
      </c>
      <c r="D8" s="931">
        <f t="shared" si="0"/>
        <v>0.22022439710918618</v>
      </c>
    </row>
    <row r="9" spans="1:7" ht="93.6" customHeight="1">
      <c r="A9" s="479" t="s">
        <v>578</v>
      </c>
      <c r="B9" s="749">
        <v>10990727.74597152</v>
      </c>
      <c r="C9" s="750">
        <v>14138317.70853618</v>
      </c>
      <c r="D9" s="931">
        <f t="shared" si="0"/>
        <v>0.28638594598236322</v>
      </c>
    </row>
    <row r="10" spans="1:7" ht="95.1" customHeight="1">
      <c r="A10" s="479" t="s">
        <v>579</v>
      </c>
      <c r="B10" s="749">
        <v>15032575.454349907</v>
      </c>
      <c r="C10" s="750">
        <v>19019455.16236886</v>
      </c>
      <c r="D10" s="931">
        <f t="shared" si="0"/>
        <v>0.26521601172906722</v>
      </c>
    </row>
    <row r="11" spans="1:7" ht="97.35" customHeight="1">
      <c r="A11" s="479" t="s">
        <v>580</v>
      </c>
      <c r="B11" s="749">
        <v>19893569.743289504</v>
      </c>
      <c r="C11" s="750">
        <v>22015000</v>
      </c>
      <c r="D11" s="931">
        <f t="shared" si="0"/>
        <v>0.10663899360878136</v>
      </c>
    </row>
    <row r="12" spans="1:7" ht="93.6" customHeight="1">
      <c r="A12" s="926" t="s">
        <v>581</v>
      </c>
      <c r="B12" s="927">
        <v>25060551.662085772</v>
      </c>
      <c r="C12" s="927">
        <v>25060551.662085772</v>
      </c>
      <c r="D12" s="931">
        <f t="shared" si="0"/>
        <v>0</v>
      </c>
    </row>
    <row r="13" spans="1:7" ht="30" customHeight="1">
      <c r="A13" s="479" t="s">
        <v>582</v>
      </c>
      <c r="B13" s="749">
        <v>6082064.0168119995</v>
      </c>
      <c r="C13" s="750">
        <v>6707959.020237877</v>
      </c>
      <c r="D13" s="931">
        <f t="shared" si="0"/>
        <v>0.10290832219058907</v>
      </c>
    </row>
    <row r="14" spans="1:7" ht="33.75" customHeight="1">
      <c r="A14" s="485" t="s">
        <v>507</v>
      </c>
      <c r="B14" s="749">
        <v>5679063.8756039999</v>
      </c>
      <c r="C14" s="750">
        <v>6206081.0032600509</v>
      </c>
      <c r="D14" s="931">
        <f t="shared" si="0"/>
        <v>9.2799999999999952E-2</v>
      </c>
    </row>
    <row r="15" spans="1:7">
      <c r="A15" s="607" t="s">
        <v>583</v>
      </c>
    </row>
    <row r="16" spans="1:7">
      <c r="A16" s="607"/>
    </row>
    <row r="17" spans="1:4" ht="28.5" customHeight="1">
      <c r="A17" s="1331" t="s">
        <v>584</v>
      </c>
      <c r="B17" s="1331"/>
      <c r="C17" s="1331"/>
      <c r="D17" s="928"/>
    </row>
    <row r="18" spans="1:4" ht="27.75" customHeight="1">
      <c r="A18" s="484" t="s">
        <v>585</v>
      </c>
      <c r="B18" s="483" t="s">
        <v>823</v>
      </c>
      <c r="C18" s="599" t="s">
        <v>824</v>
      </c>
      <c r="D18" s="930" t="s">
        <v>821</v>
      </c>
    </row>
    <row r="19" spans="1:4" ht="44.65" customHeight="1">
      <c r="A19" s="479" t="str">
        <f>'A.P.U. 2024'!A107</f>
        <v>Trampa de grasas prefabricada en P.R.F.V (Poliéster Reforzado con Fibra De Vidrio) con capacidad para atender una población de tres a nueve (3 a 9) habitantes.</v>
      </c>
      <c r="B19" s="749">
        <v>536821.31968976185</v>
      </c>
      <c r="C19" s="750">
        <v>682582.85276414151</v>
      </c>
      <c r="D19" s="932">
        <f>+((C19-B19)/B19)</f>
        <v>0.27152709426409838</v>
      </c>
    </row>
    <row r="20" spans="1:4" ht="49.15" customHeight="1">
      <c r="A20" s="479" t="str">
        <f>'A.P.U. 2024'!A132</f>
        <v>Trampa de grasas prefabricada en P.R.F.V (Poliéster Reforzado con Fibra De Vidrio) con capacidad para atender una población de diez a quince (10 a 15) habitantes.</v>
      </c>
      <c r="B20" s="749">
        <v>596612.89836218278</v>
      </c>
      <c r="C20" s="750">
        <v>834751.93730262446</v>
      </c>
      <c r="D20" s="932">
        <f t="shared" ref="D20:D26" si="1">+((C20-B20)/B20)</f>
        <v>0.39915167706594873</v>
      </c>
    </row>
    <row r="21" spans="1:4" ht="54" customHeight="1">
      <c r="A21" s="479" t="str">
        <f>'A.P.U. 2024'!A157</f>
        <v>Trampa de grasas prefabricada en P.R.F.V (Poliéster Reforzado con Fibra De Vidrio) con capacidad para atender una población de dieciséis a veinte (16 a 20) habitantes.</v>
      </c>
      <c r="B21" s="749">
        <v>750512.53798099596</v>
      </c>
      <c r="C21" s="750">
        <v>1022512.24887522</v>
      </c>
      <c r="D21" s="932">
        <f t="shared" si="1"/>
        <v>0.36241861012202226</v>
      </c>
    </row>
    <row r="22" spans="1:4" ht="56.1" customHeight="1">
      <c r="A22" s="479" t="str">
        <f>'A.P.U. 2024'!A181</f>
        <v>Trampa de grasas prefabricada en P.R.F.V (Poliéster Reforzado con Fibra De Vidrio) con capacidad para atender una población de veinti uno a treinta (21 a 30) habitantes.</v>
      </c>
      <c r="B22" s="749">
        <v>849118.14252238791</v>
      </c>
      <c r="C22" s="750">
        <v>1400949.1656211668</v>
      </c>
      <c r="D22" s="932">
        <f t="shared" si="1"/>
        <v>0.64988721293777951</v>
      </c>
    </row>
    <row r="23" spans="1:4" ht="56.65" customHeight="1">
      <c r="A23" s="479" t="str">
        <f>'A.P.U. 2024'!A205</f>
        <v>Trampa de grasas prefabricada en P.R.F.V (Poliéster Reforzado con Fibra De Vidrio) con capacidad para atender una población de treinta y uno a cuarenta (31 a 40) habitantes.</v>
      </c>
      <c r="B23" s="749">
        <v>1491309.9218980446</v>
      </c>
      <c r="C23" s="750">
        <v>1753394.4339091156</v>
      </c>
      <c r="D23" s="932">
        <f t="shared" si="1"/>
        <v>0.1757411441865192</v>
      </c>
    </row>
    <row r="24" spans="1:4" ht="73.5" customHeight="1">
      <c r="A24" s="479" t="str">
        <f>'A.P.U. 2024'!A229</f>
        <v>Trampa de grasas prefabricada en P.R.F.V (Poliéster Reforzado con Fibra De Vidrio) con capacidad para atender una población de cuarenta y uno a cincuenta (41 a 50) habitantes.</v>
      </c>
      <c r="B24" s="749">
        <v>1784901.0193087156</v>
      </c>
      <c r="C24" s="750">
        <v>2132791.2380322758</v>
      </c>
      <c r="D24" s="932">
        <f t="shared" si="1"/>
        <v>0.19490728895336537</v>
      </c>
    </row>
    <row r="25" spans="1:4" ht="63" customHeight="1">
      <c r="A25" s="479" t="str">
        <f>'A.P.U. 2024'!A252</f>
        <v>Trampa de grasas prefabricada en P.R.F.V (Poliéster Reforzado con Fibra De Vidrio) con capacidad para atender una población de cincuenta y uno a setenta (51 a 70) habitantes.</v>
      </c>
      <c r="B25" s="749">
        <v>2756556.761526796</v>
      </c>
      <c r="C25" s="750">
        <v>2117419.6034324421</v>
      </c>
      <c r="D25" s="932">
        <f t="shared" si="1"/>
        <v>-0.23186069193813735</v>
      </c>
    </row>
    <row r="26" spans="1:4" ht="67.5" customHeight="1">
      <c r="A26" s="926" t="str">
        <f>'A.P.U. 2024'!A276</f>
        <v>Trampa de grasas prefabricada en P.R.F.V (Poliéster Reforzado con Fibra De Vidrio) con capacidad para atender una población de setenta y uno a noventa (71 a 90) habitantes.</v>
      </c>
      <c r="B26" s="927">
        <v>3586383.8091833587</v>
      </c>
      <c r="C26" s="927">
        <v>3586383.8091833587</v>
      </c>
      <c r="D26" s="932">
        <f t="shared" si="1"/>
        <v>0</v>
      </c>
    </row>
    <row r="27" spans="1:4" ht="25.5" customHeight="1">
      <c r="A27" s="629" t="s">
        <v>586</v>
      </c>
    </row>
    <row r="28" spans="1:4" ht="117.75" customHeight="1">
      <c r="A28" s="480"/>
    </row>
    <row r="29" spans="1:4" ht="117.75" customHeight="1">
      <c r="A29" s="480"/>
    </row>
    <row r="30" spans="1:4" ht="117.75" customHeight="1">
      <c r="A30" s="480"/>
    </row>
    <row r="31" spans="1:4" ht="117.75" customHeight="1">
      <c r="A31" s="480"/>
    </row>
    <row r="32" spans="1:4" ht="117.75" customHeight="1">
      <c r="A32" s="480"/>
    </row>
    <row r="33" spans="1:1" ht="117.75" customHeight="1">
      <c r="A33" s="480"/>
    </row>
    <row r="34" spans="1:1" ht="117.75" customHeight="1">
      <c r="A34" s="480"/>
    </row>
    <row r="35" spans="1:1" ht="117.75" customHeight="1">
      <c r="A35" s="480"/>
    </row>
    <row r="36" spans="1:1" ht="117.75" customHeight="1">
      <c r="A36" s="480"/>
    </row>
    <row r="37" spans="1:1" ht="117.75" customHeight="1">
      <c r="A37" s="480"/>
    </row>
    <row r="38" spans="1:1" ht="117.75" customHeight="1">
      <c r="A38" s="480"/>
    </row>
    <row r="39" spans="1:1" ht="117.75" customHeight="1">
      <c r="A39" s="480"/>
    </row>
    <row r="40" spans="1:1" ht="117.75" customHeight="1">
      <c r="A40" s="480"/>
    </row>
    <row r="41" spans="1:1" ht="117.75" customHeight="1">
      <c r="A41" s="480"/>
    </row>
  </sheetData>
  <sheetProtection algorithmName="SHA-512" hashValue="+bZlBPgUE43Zm0EasaJzwFLqOqn+Y8DflPg7QxK28f2RderYF0Nky9MfZHW1LxLggrcOoKiWhnvu5mCkdN0C0Q==" saltValue="2Jlp34J/cGStuf4/a6r4NA==" spinCount="100000" sheet="1" formatCells="0" formatColumns="0" formatRows="0" insertColumns="0" insertRows="0" insertHyperlinks="0" deleteColumns="0" deleteRows="0" sort="0" autoFilter="0" pivotTables="0"/>
  <mergeCells count="3">
    <mergeCell ref="A3:C3"/>
    <mergeCell ref="A17:C17"/>
    <mergeCell ref="A1:C1"/>
  </mergeCells>
  <pageMargins left="0.19685039370078741" right="0.11811023622047245" top="0.15748031496062992" bottom="0.15748031496062992" header="0.11811023622047245" footer="0.19685039370078741"/>
  <pageSetup scale="44"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P34"/>
  <sheetViews>
    <sheetView showGridLines="0" zoomScale="85" zoomScaleNormal="85" workbookViewId="0">
      <selection activeCell="B2" sqref="B2"/>
    </sheetView>
  </sheetViews>
  <sheetFormatPr baseColWidth="10" defaultColWidth="12" defaultRowHeight="15"/>
  <cols>
    <col min="1" max="1" width="8.33203125" style="695" customWidth="1"/>
    <col min="2" max="2" width="63.5" style="696" customWidth="1"/>
    <col min="3" max="3" width="19.6640625" style="697" customWidth="1"/>
    <col min="4" max="5" width="22.33203125" style="697" customWidth="1"/>
    <col min="6" max="6" width="21.1640625" style="697" customWidth="1"/>
    <col min="7" max="9" width="22.33203125" style="697" customWidth="1"/>
    <col min="10" max="10" width="22.33203125" style="697" hidden="1" customWidth="1"/>
    <col min="11" max="11" width="19.1640625" style="697" customWidth="1"/>
    <col min="12" max="12" width="21.5" style="697" customWidth="1"/>
    <col min="13" max="16" width="20.6640625" style="697" customWidth="1"/>
    <col min="17" max="16384" width="12" style="697"/>
  </cols>
  <sheetData>
    <row r="1" spans="1:16" ht="36.6" customHeight="1">
      <c r="B1" s="1342" t="s">
        <v>909</v>
      </c>
      <c r="C1" s="1342"/>
      <c r="D1" s="1342"/>
      <c r="E1" s="1342"/>
      <c r="F1" s="1342"/>
      <c r="G1" s="1342"/>
      <c r="H1" s="1342"/>
      <c r="I1" s="1342"/>
      <c r="J1" s="1342"/>
      <c r="O1" s="698"/>
      <c r="P1" s="698"/>
    </row>
    <row r="2" spans="1:16" ht="21" customHeight="1">
      <c r="B2" s="697"/>
      <c r="O2" s="698"/>
      <c r="P2" s="698"/>
    </row>
    <row r="3" spans="1:16" customFormat="1" ht="40.9" customHeight="1">
      <c r="A3" s="752"/>
      <c r="B3" s="1343" t="s">
        <v>587</v>
      </c>
      <c r="C3" s="1343"/>
      <c r="D3" s="1343"/>
      <c r="E3" s="1343"/>
      <c r="F3" s="1343"/>
      <c r="G3" s="1343"/>
      <c r="H3" s="1343"/>
      <c r="I3" s="1343"/>
      <c r="J3" s="1343"/>
    </row>
    <row r="4" spans="1:16" customFormat="1" ht="16.5" customHeight="1">
      <c r="A4" s="752"/>
      <c r="B4" s="1341" t="s">
        <v>588</v>
      </c>
      <c r="C4" s="753">
        <v>1</v>
      </c>
      <c r="D4" s="753">
        <v>2</v>
      </c>
      <c r="E4" s="753">
        <v>3</v>
      </c>
      <c r="F4" s="753">
        <v>4</v>
      </c>
      <c r="G4" s="753">
        <v>5</v>
      </c>
      <c r="H4" s="753">
        <v>6</v>
      </c>
      <c r="I4" s="753">
        <v>7</v>
      </c>
      <c r="J4" s="1334" t="s">
        <v>589</v>
      </c>
      <c r="K4" s="1334" t="s">
        <v>589</v>
      </c>
      <c r="L4" s="1334" t="s">
        <v>589</v>
      </c>
    </row>
    <row r="5" spans="1:16" customFormat="1" ht="22.9" customHeight="1">
      <c r="A5" s="752"/>
      <c r="B5" s="1341"/>
      <c r="C5" s="753" t="s">
        <v>590</v>
      </c>
      <c r="D5" s="753" t="s">
        <v>806</v>
      </c>
      <c r="E5" s="753" t="s">
        <v>907</v>
      </c>
      <c r="F5" s="753" t="s">
        <v>591</v>
      </c>
      <c r="G5" s="753" t="s">
        <v>592</v>
      </c>
      <c r="H5" s="754" t="s">
        <v>593</v>
      </c>
      <c r="I5" s="890" t="s">
        <v>805</v>
      </c>
      <c r="J5" s="1335"/>
      <c r="K5" s="1335"/>
      <c r="L5" s="1335"/>
    </row>
    <row r="6" spans="1:16" customFormat="1" ht="31.9" customHeight="1">
      <c r="A6" s="752"/>
      <c r="B6" s="1341"/>
      <c r="C6" s="754" t="s">
        <v>885</v>
      </c>
      <c r="D6" s="754" t="s">
        <v>884</v>
      </c>
      <c r="E6" s="754" t="s">
        <v>886</v>
      </c>
      <c r="F6" s="754" t="s">
        <v>887</v>
      </c>
      <c r="G6" s="754" t="s">
        <v>888</v>
      </c>
      <c r="H6" s="754" t="s">
        <v>889</v>
      </c>
      <c r="I6" s="891" t="s">
        <v>890</v>
      </c>
      <c r="J6" s="1336"/>
      <c r="K6" s="1336"/>
      <c r="L6" s="1336"/>
    </row>
    <row r="7" spans="1:16" customFormat="1" ht="43.5" customHeight="1">
      <c r="A7" s="752"/>
      <c r="B7" s="1341"/>
      <c r="C7" s="754" t="s">
        <v>594</v>
      </c>
      <c r="D7" s="754" t="s">
        <v>594</v>
      </c>
      <c r="E7" s="754" t="s">
        <v>594</v>
      </c>
      <c r="F7" s="754" t="s">
        <v>594</v>
      </c>
      <c r="G7" s="754" t="s">
        <v>594</v>
      </c>
      <c r="H7" s="754" t="s">
        <v>594</v>
      </c>
      <c r="I7" s="754" t="s">
        <v>594</v>
      </c>
      <c r="J7" s="754" t="s">
        <v>809</v>
      </c>
      <c r="K7" s="754" t="s">
        <v>810</v>
      </c>
      <c r="L7" s="754" t="s">
        <v>829</v>
      </c>
    </row>
    <row r="8" spans="1:16" customFormat="1" ht="99" customHeight="1">
      <c r="A8" s="755">
        <v>1</v>
      </c>
      <c r="B8" s="608" t="s">
        <v>595</v>
      </c>
      <c r="C8" s="699">
        <v>3855600</v>
      </c>
      <c r="D8" s="701">
        <v>3352000</v>
      </c>
      <c r="E8" s="699">
        <v>5893750</v>
      </c>
      <c r="F8" s="699">
        <v>3795000</v>
      </c>
      <c r="G8" s="701">
        <v>3451000</v>
      </c>
      <c r="H8" s="701">
        <v>3558100</v>
      </c>
      <c r="I8" s="701">
        <v>2760800</v>
      </c>
      <c r="J8" s="756">
        <f>+GEOMEAN(C8:I8)</f>
        <v>3716816.1139559713</v>
      </c>
      <c r="K8" s="756">
        <f>+GEOMEAN(C8,F8,G8,H8)</f>
        <v>3661143.1935390406</v>
      </c>
      <c r="L8" s="756">
        <f>+GEOMEAN(C8,E8,F8,G8,H8)</f>
        <v>4026908.0601858585</v>
      </c>
    </row>
    <row r="9" spans="1:16" customFormat="1" ht="96.4" customHeight="1">
      <c r="A9" s="755">
        <v>2</v>
      </c>
      <c r="B9" s="608" t="s">
        <v>596</v>
      </c>
      <c r="C9" s="699">
        <v>5140800</v>
      </c>
      <c r="D9" s="701">
        <v>3352000</v>
      </c>
      <c r="E9" s="699">
        <v>6336125</v>
      </c>
      <c r="F9" s="699">
        <v>5010000</v>
      </c>
      <c r="G9" s="701">
        <v>4760000</v>
      </c>
      <c r="H9" s="701">
        <v>4856963</v>
      </c>
      <c r="I9" s="701">
        <v>3589040</v>
      </c>
      <c r="J9" s="756">
        <f t="shared" ref="J9:J16" si="0">+GEOMEAN(C9:I9)</f>
        <v>4626771.2940015076</v>
      </c>
      <c r="K9" s="756">
        <f t="shared" ref="K9:K16" si="1">+GEOMEAN(C9,F9,G9,H9)</f>
        <v>4939807.730770627</v>
      </c>
      <c r="L9" s="756">
        <f t="shared" ref="L9:L16" si="2">+GEOMEAN(C9,E9,F9,G9,H9)</f>
        <v>5191977.2840392943</v>
      </c>
    </row>
    <row r="10" spans="1:16" customFormat="1" ht="112.15" customHeight="1">
      <c r="A10" s="755">
        <v>3</v>
      </c>
      <c r="B10" s="608" t="s">
        <v>597</v>
      </c>
      <c r="C10" s="699">
        <v>6568800</v>
      </c>
      <c r="D10" s="701">
        <v>4998000</v>
      </c>
      <c r="E10" s="699">
        <v>8623625</v>
      </c>
      <c r="F10" s="701">
        <v>6436000</v>
      </c>
      <c r="G10" s="701">
        <v>6069000</v>
      </c>
      <c r="H10" s="699">
        <v>6809985</v>
      </c>
      <c r="I10" s="701">
        <v>4555320</v>
      </c>
      <c r="J10" s="756">
        <f t="shared" si="0"/>
        <v>6176852.0069959117</v>
      </c>
      <c r="K10" s="756">
        <f t="shared" si="1"/>
        <v>6465339.6024664547</v>
      </c>
      <c r="L10" s="756">
        <f t="shared" si="2"/>
        <v>6848745.7831964483</v>
      </c>
    </row>
    <row r="11" spans="1:16" customFormat="1" ht="113.45" customHeight="1">
      <c r="A11" s="755">
        <v>4</v>
      </c>
      <c r="B11" s="608" t="s">
        <v>598</v>
      </c>
      <c r="C11" s="699">
        <v>10281600</v>
      </c>
      <c r="D11" s="701">
        <v>6650000</v>
      </c>
      <c r="E11" s="699">
        <v>10582500</v>
      </c>
      <c r="F11" s="699">
        <v>10052000</v>
      </c>
      <c r="G11" s="701">
        <v>9639000</v>
      </c>
      <c r="H11" s="699">
        <v>10047763</v>
      </c>
      <c r="I11" s="701">
        <v>5935720</v>
      </c>
      <c r="J11" s="756">
        <f t="shared" si="0"/>
        <v>8828759.7014416717</v>
      </c>
      <c r="K11" s="756">
        <f t="shared" si="1"/>
        <v>10002386.607526038</v>
      </c>
      <c r="L11" s="756">
        <f t="shared" si="2"/>
        <v>10115807.697600847</v>
      </c>
    </row>
    <row r="12" spans="1:16" customFormat="1" ht="109.9" customHeight="1">
      <c r="A12" s="755">
        <v>5</v>
      </c>
      <c r="B12" s="608" t="s">
        <v>599</v>
      </c>
      <c r="C12" s="699">
        <v>14994000</v>
      </c>
      <c r="D12" s="701">
        <v>8806000</v>
      </c>
      <c r="E12" s="699">
        <v>14674375</v>
      </c>
      <c r="F12" s="699">
        <v>14762000</v>
      </c>
      <c r="G12" s="701">
        <v>13744500</v>
      </c>
      <c r="H12" s="701">
        <v>13134069</v>
      </c>
      <c r="I12" s="701">
        <v>8972600</v>
      </c>
      <c r="J12" s="756">
        <f t="shared" si="0"/>
        <v>12448616.222566668</v>
      </c>
      <c r="K12" s="756">
        <f t="shared" si="1"/>
        <v>14138317.70853618</v>
      </c>
      <c r="L12" s="756">
        <f t="shared" si="2"/>
        <v>14243939.224135594</v>
      </c>
    </row>
    <row r="13" spans="1:16" customFormat="1" ht="117.75" customHeight="1">
      <c r="A13" s="755">
        <v>6</v>
      </c>
      <c r="B13" s="608" t="s">
        <v>600</v>
      </c>
      <c r="C13" s="699">
        <v>21420000</v>
      </c>
      <c r="D13" s="701">
        <v>10234000</v>
      </c>
      <c r="E13" s="699">
        <v>21206192</v>
      </c>
      <c r="F13" s="699">
        <v>20983000</v>
      </c>
      <c r="G13" s="699">
        <v>19099500</v>
      </c>
      <c r="H13" s="701">
        <v>15243449</v>
      </c>
      <c r="I13" s="701">
        <v>12285560</v>
      </c>
      <c r="J13" s="756">
        <f t="shared" si="0"/>
        <v>16610589.649500202</v>
      </c>
      <c r="K13" s="756">
        <f t="shared" si="1"/>
        <v>19019455.16236886</v>
      </c>
      <c r="L13" s="756">
        <f t="shared" si="2"/>
        <v>19437973.929300867</v>
      </c>
    </row>
    <row r="14" spans="1:16" customFormat="1" ht="106.9" hidden="1" customHeight="1">
      <c r="A14" s="755">
        <v>7</v>
      </c>
      <c r="B14" s="608" t="s">
        <v>601</v>
      </c>
      <c r="C14" s="762" t="s">
        <v>807</v>
      </c>
      <c r="D14" s="701">
        <v>14280000</v>
      </c>
      <c r="E14" s="699">
        <v>23560370</v>
      </c>
      <c r="F14" s="762" t="s">
        <v>807</v>
      </c>
      <c r="G14" s="701">
        <v>22015000</v>
      </c>
      <c r="H14" s="762" t="s">
        <v>807</v>
      </c>
      <c r="I14" s="701">
        <v>17807160</v>
      </c>
      <c r="J14" s="756">
        <f t="shared" si="0"/>
        <v>19057060.650845867</v>
      </c>
      <c r="K14" s="756">
        <f t="shared" si="1"/>
        <v>22015000</v>
      </c>
      <c r="L14" s="756">
        <f t="shared" si="2"/>
        <v>22774581.127871484</v>
      </c>
    </row>
    <row r="15" spans="1:16" customFormat="1" ht="35.65" customHeight="1">
      <c r="A15" s="755">
        <v>9</v>
      </c>
      <c r="B15" s="608" t="s">
        <v>602</v>
      </c>
      <c r="C15" s="699">
        <v>8282400</v>
      </c>
      <c r="D15" s="701">
        <v>3332000</v>
      </c>
      <c r="E15" s="699">
        <v>10494738</v>
      </c>
      <c r="F15" s="699">
        <v>7990000</v>
      </c>
      <c r="G15" s="701">
        <v>6354600</v>
      </c>
      <c r="H15" s="701">
        <v>4814713</v>
      </c>
      <c r="I15" s="701">
        <v>3049489.24</v>
      </c>
      <c r="J15" s="756">
        <f t="shared" si="0"/>
        <v>5781464.9927988146</v>
      </c>
      <c r="K15" s="756">
        <f t="shared" si="1"/>
        <v>6707959.020237877</v>
      </c>
      <c r="L15" s="756">
        <f t="shared" si="2"/>
        <v>7336123.617540176</v>
      </c>
    </row>
    <row r="16" spans="1:16" customFormat="1" ht="33.4" customHeight="1">
      <c r="A16" s="755">
        <v>10</v>
      </c>
      <c r="B16" s="608" t="s">
        <v>603</v>
      </c>
      <c r="C16" s="699">
        <v>7854000</v>
      </c>
      <c r="D16" s="701">
        <v>2737000</v>
      </c>
      <c r="E16" s="699">
        <v>11220121</v>
      </c>
      <c r="F16" s="699">
        <v>7905000</v>
      </c>
      <c r="G16" s="699">
        <v>7782600</v>
      </c>
      <c r="H16" s="701">
        <v>2121672</v>
      </c>
      <c r="I16" s="701">
        <v>2523719.87</v>
      </c>
      <c r="J16" s="756">
        <f t="shared" si="0"/>
        <v>5012052.3854522165</v>
      </c>
      <c r="K16" s="756">
        <f t="shared" si="1"/>
        <v>5658468.8766373601</v>
      </c>
      <c r="L16" s="756">
        <f t="shared" si="2"/>
        <v>6488714.3120361743</v>
      </c>
    </row>
    <row r="17" spans="1:12" customFormat="1" ht="33.4" customHeight="1">
      <c r="A17" s="757"/>
      <c r="B17" s="758"/>
      <c r="C17" s="758"/>
      <c r="D17" s="758"/>
      <c r="E17" s="758"/>
      <c r="F17" s="758"/>
      <c r="G17" s="758"/>
      <c r="H17" s="758"/>
      <c r="I17" s="758"/>
      <c r="J17" s="758"/>
      <c r="K17" s="758"/>
    </row>
    <row r="18" spans="1:12" customFormat="1" ht="33.4" customHeight="1">
      <c r="A18" s="757"/>
      <c r="B18" s="1337" t="s">
        <v>604</v>
      </c>
      <c r="C18" s="759" t="s">
        <v>605</v>
      </c>
      <c r="D18" s="759" t="s">
        <v>606</v>
      </c>
      <c r="E18" s="759" t="s">
        <v>819</v>
      </c>
      <c r="F18" s="697"/>
      <c r="G18" s="700"/>
      <c r="H18" s="700"/>
      <c r="I18" s="700"/>
      <c r="J18" s="700"/>
    </row>
    <row r="19" spans="1:12" customFormat="1" ht="15.6" customHeight="1">
      <c r="A19" s="757"/>
      <c r="B19" s="1337"/>
      <c r="C19" s="760" t="s">
        <v>607</v>
      </c>
      <c r="D19" s="761" t="s">
        <v>608</v>
      </c>
      <c r="E19" s="761" t="s">
        <v>818</v>
      </c>
      <c r="F19" s="697"/>
      <c r="G19" s="700"/>
      <c r="H19" s="700"/>
      <c r="I19" s="700"/>
      <c r="J19" s="700"/>
    </row>
    <row r="20" spans="1:12" customFormat="1" ht="33.4" customHeight="1">
      <c r="A20" s="757"/>
      <c r="B20" s="608" t="s">
        <v>602</v>
      </c>
      <c r="C20" s="762">
        <v>5376647.8224999998</v>
      </c>
      <c r="D20" s="762">
        <f>+C20+C20*13.12%</f>
        <v>6082064.0168119995</v>
      </c>
      <c r="E20" s="762">
        <f>+D20+D20*9.28%</f>
        <v>6646479.5575721534</v>
      </c>
      <c r="F20" s="697"/>
      <c r="G20" s="700"/>
      <c r="H20" s="700"/>
      <c r="I20" s="700"/>
      <c r="J20" s="700"/>
    </row>
    <row r="21" spans="1:12" customFormat="1" ht="33.4" customHeight="1">
      <c r="A21" s="757"/>
      <c r="B21" s="608" t="s">
        <v>603</v>
      </c>
      <c r="C21" s="762">
        <v>5020388.8574999999</v>
      </c>
      <c r="D21" s="762">
        <f>+C21+C21*13.12%</f>
        <v>5679063.8756039999</v>
      </c>
      <c r="E21" s="762">
        <f>+D21+D21*9.28%</f>
        <v>6206081.0032600509</v>
      </c>
      <c r="F21" s="697"/>
      <c r="G21" s="700"/>
      <c r="H21" s="700"/>
      <c r="I21" s="700"/>
      <c r="J21" s="700"/>
    </row>
    <row r="22" spans="1:12" customFormat="1" ht="33.4" customHeight="1">
      <c r="A22" s="757"/>
      <c r="B22" s="758"/>
      <c r="C22" s="700"/>
      <c r="D22" s="700"/>
      <c r="E22" s="700"/>
      <c r="F22" s="700"/>
      <c r="G22" s="700"/>
      <c r="H22" s="700"/>
      <c r="I22" s="700"/>
      <c r="J22" s="700"/>
    </row>
    <row r="23" spans="1:12" customFormat="1" ht="40.9" customHeight="1">
      <c r="A23" s="752"/>
      <c r="B23" s="1338" t="s">
        <v>609</v>
      </c>
      <c r="C23" s="1339"/>
      <c r="D23" s="1339"/>
      <c r="E23" s="1339"/>
      <c r="F23" s="1339"/>
      <c r="G23" s="1339"/>
      <c r="H23" s="1339"/>
      <c r="I23" s="1339"/>
      <c r="J23" s="1340"/>
    </row>
    <row r="24" spans="1:12" customFormat="1" ht="27" customHeight="1">
      <c r="A24" s="752"/>
      <c r="B24" s="1341" t="s">
        <v>610</v>
      </c>
      <c r="C24" s="754">
        <v>1</v>
      </c>
      <c r="D24" s="754">
        <v>2</v>
      </c>
      <c r="E24" s="754">
        <v>3</v>
      </c>
      <c r="F24" s="754">
        <v>4</v>
      </c>
      <c r="G24" s="754">
        <v>5</v>
      </c>
      <c r="H24" s="763">
        <v>6</v>
      </c>
      <c r="I24" s="763">
        <v>7</v>
      </c>
      <c r="J24" s="1334" t="s">
        <v>589</v>
      </c>
      <c r="K24" s="1334" t="s">
        <v>589</v>
      </c>
      <c r="L24" s="1334" t="s">
        <v>589</v>
      </c>
    </row>
    <row r="25" spans="1:12" customFormat="1" ht="22.9" customHeight="1">
      <c r="A25" s="752"/>
      <c r="B25" s="1341"/>
      <c r="C25" s="754" t="s">
        <v>590</v>
      </c>
      <c r="D25" s="754" t="s">
        <v>806</v>
      </c>
      <c r="E25" s="753" t="s">
        <v>907</v>
      </c>
      <c r="F25" s="754" t="s">
        <v>591</v>
      </c>
      <c r="G25" s="754" t="s">
        <v>592</v>
      </c>
      <c r="H25" s="754" t="s">
        <v>593</v>
      </c>
      <c r="I25" s="754" t="s">
        <v>805</v>
      </c>
      <c r="J25" s="1335"/>
      <c r="K25" s="1335"/>
      <c r="L25" s="1335"/>
    </row>
    <row r="26" spans="1:12" customFormat="1" ht="40.15" customHeight="1">
      <c r="A26" s="752"/>
      <c r="B26" s="1341"/>
      <c r="C26" s="754" t="s">
        <v>885</v>
      </c>
      <c r="D26" s="754" t="s">
        <v>884</v>
      </c>
      <c r="E26" s="754" t="s">
        <v>886</v>
      </c>
      <c r="F26" s="754" t="s">
        <v>887</v>
      </c>
      <c r="G26" s="754" t="s">
        <v>888</v>
      </c>
      <c r="H26" s="754" t="s">
        <v>889</v>
      </c>
      <c r="I26" s="891" t="s">
        <v>890</v>
      </c>
      <c r="J26" s="1336"/>
      <c r="K26" s="1336"/>
      <c r="L26" s="1336"/>
    </row>
    <row r="27" spans="1:12" customFormat="1" ht="34.9" customHeight="1">
      <c r="A27" s="752"/>
      <c r="B27" s="1341"/>
      <c r="C27" s="754" t="s">
        <v>594</v>
      </c>
      <c r="D27" s="754" t="s">
        <v>594</v>
      </c>
      <c r="E27" s="754" t="s">
        <v>594</v>
      </c>
      <c r="F27" s="754" t="s">
        <v>594</v>
      </c>
      <c r="G27" s="754" t="s">
        <v>594</v>
      </c>
      <c r="H27" s="754" t="s">
        <v>594</v>
      </c>
      <c r="I27" s="754" t="s">
        <v>594</v>
      </c>
      <c r="J27" s="754" t="s">
        <v>809</v>
      </c>
      <c r="K27" s="754" t="s">
        <v>810</v>
      </c>
      <c r="L27" s="754" t="s">
        <v>829</v>
      </c>
    </row>
    <row r="28" spans="1:12" customFormat="1" ht="57" customHeight="1">
      <c r="A28" s="755">
        <v>1</v>
      </c>
      <c r="B28" s="479" t="s">
        <v>611</v>
      </c>
      <c r="C28" s="699">
        <v>785400</v>
      </c>
      <c r="D28" s="762" t="s">
        <v>807</v>
      </c>
      <c r="E28" s="762">
        <v>813750</v>
      </c>
      <c r="F28" s="701">
        <v>705000</v>
      </c>
      <c r="G28" s="699">
        <v>773500</v>
      </c>
      <c r="H28" s="701">
        <v>506852</v>
      </c>
      <c r="I28" s="701">
        <v>416500</v>
      </c>
      <c r="J28" s="762">
        <f>+GEOMEAN(C28:I28)</f>
        <v>647323.31665696227</v>
      </c>
      <c r="K28" s="762">
        <f>+GEOMEAN(C28,F28,G28,H28)</f>
        <v>682582.85276414151</v>
      </c>
      <c r="L28" s="762">
        <f t="shared" ref="L28:L34" si="3">+GEOMEAN(C28,E28,F28,G28,H28)</f>
        <v>707005.02350318863</v>
      </c>
    </row>
    <row r="29" spans="1:12" customFormat="1" ht="49.9" customHeight="1">
      <c r="A29" s="755">
        <v>2</v>
      </c>
      <c r="B29" s="479" t="s">
        <v>612</v>
      </c>
      <c r="C29" s="699">
        <v>1071000</v>
      </c>
      <c r="D29" s="762" t="s">
        <v>807</v>
      </c>
      <c r="E29" s="762">
        <v>1325000</v>
      </c>
      <c r="F29" s="699">
        <v>930000</v>
      </c>
      <c r="G29" s="701">
        <v>773500</v>
      </c>
      <c r="H29" s="701">
        <v>630227</v>
      </c>
      <c r="I29" s="701">
        <v>476000</v>
      </c>
      <c r="J29" s="762">
        <f t="shared" ref="J29:J34" si="4">+GEOMEAN(C29:I29)</f>
        <v>820997.99327217531</v>
      </c>
      <c r="K29" s="762">
        <f t="shared" ref="K29:K34" si="5">+GEOMEAN(C29,F29,G29,H29)</f>
        <v>834751.93730262446</v>
      </c>
      <c r="L29" s="762">
        <f t="shared" si="3"/>
        <v>915564.87763204938</v>
      </c>
    </row>
    <row r="30" spans="1:12" customFormat="1" ht="49.9" customHeight="1">
      <c r="A30" s="755">
        <v>3</v>
      </c>
      <c r="B30" s="479" t="s">
        <v>480</v>
      </c>
      <c r="C30" s="699">
        <v>1170960</v>
      </c>
      <c r="D30" s="762" t="s">
        <v>807</v>
      </c>
      <c r="E30" s="762" t="s">
        <v>807</v>
      </c>
      <c r="F30" s="699">
        <v>1123000</v>
      </c>
      <c r="G30" s="699">
        <v>1130500</v>
      </c>
      <c r="H30" s="701">
        <v>735329</v>
      </c>
      <c r="I30" s="701">
        <v>535500</v>
      </c>
      <c r="J30" s="762">
        <f t="shared" si="4"/>
        <v>898435.09964774642</v>
      </c>
      <c r="K30" s="762">
        <f t="shared" si="5"/>
        <v>1022512.24887522</v>
      </c>
      <c r="L30" s="762">
        <f t="shared" si="3"/>
        <v>1022512.24887522</v>
      </c>
    </row>
    <row r="31" spans="1:12" customFormat="1" ht="49.9" customHeight="1">
      <c r="A31" s="755">
        <v>4</v>
      </c>
      <c r="B31" s="479" t="s">
        <v>484</v>
      </c>
      <c r="C31" s="699">
        <v>1713600</v>
      </c>
      <c r="D31" s="762" t="s">
        <v>807</v>
      </c>
      <c r="E31" s="762" t="s">
        <v>807</v>
      </c>
      <c r="F31" s="699">
        <v>1560000</v>
      </c>
      <c r="G31" s="699">
        <v>1547000</v>
      </c>
      <c r="H31" s="701">
        <v>931462</v>
      </c>
      <c r="I31" s="701">
        <v>595000</v>
      </c>
      <c r="J31" s="762">
        <f t="shared" si="4"/>
        <v>1180432.8711754098</v>
      </c>
      <c r="K31" s="762">
        <f t="shared" si="5"/>
        <v>1400949.1656211668</v>
      </c>
      <c r="L31" s="762">
        <f t="shared" si="3"/>
        <v>1400949.1656211668</v>
      </c>
    </row>
    <row r="32" spans="1:12" customFormat="1" ht="49.9" customHeight="1">
      <c r="A32" s="755">
        <v>5</v>
      </c>
      <c r="B32" s="479" t="s">
        <v>489</v>
      </c>
      <c r="C32" s="699">
        <v>2284800</v>
      </c>
      <c r="D32" s="762" t="s">
        <v>807</v>
      </c>
      <c r="E32" s="762" t="s">
        <v>807</v>
      </c>
      <c r="F32" s="699">
        <v>2035000</v>
      </c>
      <c r="G32" s="699">
        <v>1785000</v>
      </c>
      <c r="H32" s="701">
        <v>1138853</v>
      </c>
      <c r="I32" s="701">
        <v>654500</v>
      </c>
      <c r="J32" s="762">
        <f t="shared" si="4"/>
        <v>1439745.1659583522</v>
      </c>
      <c r="K32" s="762">
        <f t="shared" si="5"/>
        <v>1753394.4339091156</v>
      </c>
      <c r="L32" s="762">
        <f t="shared" si="3"/>
        <v>1753394.4339091156</v>
      </c>
    </row>
    <row r="33" spans="1:12" customFormat="1" ht="49.9" customHeight="1">
      <c r="A33" s="755">
        <v>6</v>
      </c>
      <c r="B33" s="479" t="s">
        <v>494</v>
      </c>
      <c r="C33" s="699">
        <v>2856000</v>
      </c>
      <c r="D33" s="762" t="s">
        <v>807</v>
      </c>
      <c r="E33" s="762" t="s">
        <v>807</v>
      </c>
      <c r="F33" s="699">
        <v>2695000</v>
      </c>
      <c r="G33" s="701">
        <v>2023000</v>
      </c>
      <c r="H33" s="701">
        <v>1328864</v>
      </c>
      <c r="I33" s="701">
        <v>714000</v>
      </c>
      <c r="J33" s="762">
        <f t="shared" si="4"/>
        <v>1713556.0737082707</v>
      </c>
      <c r="K33" s="762">
        <f t="shared" si="5"/>
        <v>2132791.2380322758</v>
      </c>
      <c r="L33" s="762">
        <f t="shared" si="3"/>
        <v>2132791.2380322758</v>
      </c>
    </row>
    <row r="34" spans="1:12" customFormat="1" ht="49.9" hidden="1" customHeight="1">
      <c r="A34" s="755">
        <v>7</v>
      </c>
      <c r="B34" s="479" t="s">
        <v>498</v>
      </c>
      <c r="C34" s="762" t="s">
        <v>807</v>
      </c>
      <c r="D34" s="762" t="s">
        <v>807</v>
      </c>
      <c r="E34" s="762" t="s">
        <v>807</v>
      </c>
      <c r="F34" s="762" t="s">
        <v>807</v>
      </c>
      <c r="G34" s="699">
        <v>2261000</v>
      </c>
      <c r="H34" s="701">
        <v>1982957</v>
      </c>
      <c r="I34" s="701">
        <v>833000</v>
      </c>
      <c r="J34" s="762">
        <f t="shared" si="4"/>
        <v>1551504.1925452487</v>
      </c>
      <c r="K34" s="762">
        <f t="shared" si="5"/>
        <v>2117419.6034324421</v>
      </c>
      <c r="L34" s="762">
        <f t="shared" si="3"/>
        <v>2117419.6034324421</v>
      </c>
    </row>
  </sheetData>
  <sheetProtection algorithmName="SHA-512" hashValue="quXhmC0SWAzyAWrlIKNzQmUH9U4ZWVrjpu7NMD5tCCam5NPmJx79Di0kKKj7rj0SRFQVS9BwdCQXdCABZs2fTg==" saltValue="m+021VVOch1V+fgf+Hi6QA==" spinCount="100000" sheet="1" formatCells="0" formatColumns="0" formatRows="0" insertColumns="0" insertRows="0" insertHyperlinks="0" deleteColumns="0" deleteRows="0" sort="0" autoFilter="0" pivotTables="0"/>
  <mergeCells count="12">
    <mergeCell ref="B1:J1"/>
    <mergeCell ref="B3:J3"/>
    <mergeCell ref="B4:B7"/>
    <mergeCell ref="J4:J6"/>
    <mergeCell ref="K4:K6"/>
    <mergeCell ref="K24:K26"/>
    <mergeCell ref="L4:L6"/>
    <mergeCell ref="L24:L26"/>
    <mergeCell ref="B18:B19"/>
    <mergeCell ref="B23:J23"/>
    <mergeCell ref="B24:B27"/>
    <mergeCell ref="J24:J26"/>
  </mergeCells>
  <pageMargins left="0.19685039370078741" right="0.11811023622047245" top="0.15748031496062992" bottom="0.15748031496062992" header="0.11811023622047245" footer="0.19685039370078741"/>
  <pageSetup scale="44" orientation="landscape" horizontalDpi="4294967294" verticalDpi="429496729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518E85D85976242A72F530E2CF7337E" ma:contentTypeVersion="2" ma:contentTypeDescription="Crear nuevo documento." ma:contentTypeScope="" ma:versionID="9a643a4635e8e661c4d2b6a68e7ab92b">
  <xsd:schema xmlns:xsd="http://www.w3.org/2001/XMLSchema" xmlns:xs="http://www.w3.org/2001/XMLSchema" xmlns:p="http://schemas.microsoft.com/office/2006/metadata/properties" xmlns:ns2="9ca971cb-9363-4b2c-9031-dce9a1196b99" targetNamespace="http://schemas.microsoft.com/office/2006/metadata/properties" ma:root="true" ma:fieldsID="46414eb94077fd33e2ef87c05cf23fa2" ns2:_="">
    <xsd:import namespace="9ca971cb-9363-4b2c-9031-dce9a1196b99"/>
    <xsd:element name="properties">
      <xsd:complexType>
        <xsd:sequence>
          <xsd:element name="documentManagement">
            <xsd:complexType>
              <xsd:all>
                <xsd:element ref="ns2:_x006d_yu9" minOccurs="0"/>
                <xsd:element ref="ns2:wpl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a971cb-9363-4b2c-9031-dce9a1196b99" elementFormDefault="qualified">
    <xsd:import namespace="http://schemas.microsoft.com/office/2006/documentManagement/types"/>
    <xsd:import namespace="http://schemas.microsoft.com/office/infopath/2007/PartnerControls"/>
    <xsd:element name="_x006d_yu9" ma:index="8" nillable="true" ma:displayName="Fecha" ma:internalName="_x006d_yu9">
      <xsd:simpleType>
        <xsd:restriction base="dms:DateTime"/>
      </xsd:simpleType>
    </xsd:element>
    <xsd:element name="wplh" ma:index="9" nillable="true" ma:displayName="Descripción" ma:internalName="wplh">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6d_yu9 xmlns="9ca971cb-9363-4b2c-9031-dce9a1196b99">2025-03-10T21:00:00+00:00</_x006d_yu9>
    <wplh xmlns="9ca971cb-9363-4b2c-9031-dce9a1196b99">Convocatoria Abierta 01 Pozos Sépticos - Presupuesto Estudio Previo - 2025</wplh>
  </documentManagement>
</p:properties>
</file>

<file path=customXml/itemProps1.xml><?xml version="1.0" encoding="utf-8"?>
<ds:datastoreItem xmlns:ds="http://schemas.openxmlformats.org/officeDocument/2006/customXml" ds:itemID="{DD24D89B-8555-4874-8F89-2F834A39E1F7}"/>
</file>

<file path=customXml/itemProps2.xml><?xml version="1.0" encoding="utf-8"?>
<ds:datastoreItem xmlns:ds="http://schemas.openxmlformats.org/officeDocument/2006/customXml" ds:itemID="{097E630B-51BA-497B-B21C-2D346E601CCE}"/>
</file>

<file path=customXml/itemProps3.xml><?xml version="1.0" encoding="utf-8"?>
<ds:datastoreItem xmlns:ds="http://schemas.openxmlformats.org/officeDocument/2006/customXml" ds:itemID="{4BC28EB5-FB02-4D04-A0CE-B3C41B9328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vt:i4>
      </vt:variant>
    </vt:vector>
  </HeadingPairs>
  <TitlesOfParts>
    <vt:vector size="17" baseType="lpstr">
      <vt:lpstr>Plan ejecución</vt:lpstr>
      <vt:lpstr>Presupuesto Convenio </vt:lpstr>
      <vt:lpstr>ppto sistema septico</vt:lpstr>
      <vt:lpstr>FICHAS </vt:lpstr>
      <vt:lpstr>Salarios y transporte</vt:lpstr>
      <vt:lpstr>A.P.U. 2024</vt:lpstr>
      <vt:lpstr>Actualizacion de precios</vt:lpstr>
      <vt:lpstr>VALOR UNITARIO SS Y TG</vt:lpstr>
      <vt:lpstr>ESTUDIO MERCADO 2024</vt:lpstr>
      <vt:lpstr>Análisis precios transporte</vt:lpstr>
      <vt:lpstr>A.U</vt:lpstr>
      <vt:lpstr>Hoja1</vt:lpstr>
      <vt:lpstr>Tablas BD</vt:lpstr>
      <vt:lpstr>ag</vt:lpstr>
      <vt:lpstr>'Plan ejecución'!Área_de_impresión</vt:lpstr>
      <vt:lpstr>'ppto sistema septico'!Área_de_impresión</vt:lpstr>
      <vt:lpstr>'Presupuesto Convenio '!Área_de_impresión</vt:lpstr>
    </vt:vector>
  </TitlesOfParts>
  <Manager/>
  <Company>Municipio de Medellin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Convocatoria Abierta 01 Pozos Sépticos - Presupuesto Estudio Previo - 2025</dc:title>
  <dc:subject/>
  <dc:creator>CORANTIOQUIA</dc:creator>
  <cp:keywords/>
  <dc:description/>
  <cp:lastModifiedBy>SUANY</cp:lastModifiedBy>
  <cp:revision/>
  <dcterms:created xsi:type="dcterms:W3CDTF">2007-01-17T19:41:47Z</dcterms:created>
  <dcterms:modified xsi:type="dcterms:W3CDTF">2025-03-10T16:36:51Z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0x0101002518E85D85976242A72F530E2CF7337E</vt:lpwstr>
  </property>
  <property fmtid="{D5CDD505-2E9C-101B-9397-08002B2CF9AE}" pid="3" name="MediaServiceImageTags">
    <vt:lpwstr/>
  </property>
</Properties>
</file>